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wagov01-my.sharepoint.com/personal/christophe_dabbadie_dpird_wa_gov_au/Documents/Documents/DPIRD/LivestockRangelandsEcoModel/Materials/"/>
    </mc:Choice>
  </mc:AlternateContent>
  <xr:revisionPtr revIDLastSave="29" documentId="8_{E5C4D57A-BC4E-45EC-98AC-99A05C06897E}" xr6:coauthVersionLast="47" xr6:coauthVersionMax="47" xr10:uidLastSave="{773C997C-D6AE-4225-8899-2F390501A5F4}"/>
  <bookViews>
    <workbookView xWindow="58560" yWindow="960" windowWidth="21600" windowHeight="11235" tabRatio="500" activeTab="3" xr2:uid="{00000000-000D-0000-FFFF-FFFF00000000}"/>
  </bookViews>
  <sheets>
    <sheet name="Assumptions" sheetId="1" r:id="rId1"/>
    <sheet name="Materials &amp; BOM" sheetId="2" r:id="rId2"/>
    <sheet name="Freight" sheetId="3" r:id="rId3"/>
    <sheet name="Summar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2" l="1"/>
  <c r="K11" i="2" s="1"/>
  <c r="I12" i="2"/>
  <c r="J12" i="2" s="1"/>
  <c r="G11" i="2"/>
  <c r="H9" i="2"/>
  <c r="I9" i="2" s="1"/>
  <c r="J9" i="2" s="1"/>
  <c r="H10" i="2"/>
  <c r="I10" i="2" s="1"/>
  <c r="H8" i="2"/>
  <c r="I8" i="2" s="1"/>
  <c r="H4" i="2"/>
  <c r="I4" i="2" s="1"/>
  <c r="G4" i="2"/>
  <c r="I18" i="2"/>
  <c r="I19" i="2"/>
  <c r="B4" i="4"/>
  <c r="B6" i="3"/>
  <c r="I21" i="2"/>
  <c r="I20" i="2"/>
  <c r="K20" i="2" s="1"/>
  <c r="I14" i="2"/>
  <c r="I15" i="2" s="1"/>
  <c r="G14" i="2"/>
  <c r="I13" i="2"/>
  <c r="J13" i="2" s="1"/>
  <c r="G13" i="2"/>
  <c r="G12" i="2"/>
  <c r="H7" i="2"/>
  <c r="I7" i="2" s="1"/>
  <c r="J7" i="2" s="1"/>
  <c r="G7" i="2"/>
  <c r="H6" i="2"/>
  <c r="I6" i="2" s="1"/>
  <c r="G6" i="2"/>
  <c r="H5" i="2"/>
  <c r="I5" i="2" s="1"/>
  <c r="G5" i="2"/>
  <c r="H3" i="2"/>
  <c r="I3" i="2" s="1"/>
  <c r="J3" i="2" s="1"/>
  <c r="G3" i="2"/>
  <c r="H2" i="2"/>
  <c r="I2" i="2" s="1"/>
  <c r="G2" i="2"/>
  <c r="J11" i="2" l="1"/>
  <c r="K4" i="2"/>
  <c r="J4" i="2"/>
  <c r="K18" i="2"/>
  <c r="K7" i="2"/>
  <c r="J20" i="2"/>
  <c r="K9" i="2"/>
  <c r="I17" i="2"/>
  <c r="K17" i="2" s="1"/>
  <c r="K12" i="2"/>
  <c r="K13" i="2"/>
  <c r="J14" i="2"/>
  <c r="K14" i="2"/>
  <c r="K3" i="2"/>
  <c r="K10" i="2"/>
  <c r="J10" i="2"/>
  <c r="K21" i="2"/>
  <c r="J21" i="2"/>
  <c r="I16" i="2"/>
  <c r="K15" i="2"/>
  <c r="J15" i="2"/>
  <c r="K19" i="2"/>
  <c r="J19" i="2"/>
  <c r="K5" i="2"/>
  <c r="J5" i="2"/>
  <c r="K8" i="2"/>
  <c r="J8" i="2"/>
  <c r="K6" i="2"/>
  <c r="J6" i="2"/>
  <c r="K2" i="2"/>
  <c r="J2" i="2"/>
  <c r="J18" i="2" l="1"/>
  <c r="J17" i="2"/>
  <c r="K16" i="2"/>
  <c r="K25" i="2" s="1"/>
  <c r="B4" i="3" s="1"/>
  <c r="J16" i="2"/>
  <c r="J25" i="2" l="1"/>
  <c r="B6" i="4" s="1"/>
  <c r="B5" i="3"/>
  <c r="B9" i="3" s="1"/>
  <c r="B11" i="3" s="1"/>
  <c r="B7" i="4" s="1"/>
  <c r="B8" i="3" l="1"/>
  <c r="B8" i="4"/>
  <c r="B10" i="4" s="1"/>
  <c r="B11" i="4" l="1"/>
</calcChain>
</file>

<file path=xl/sharedStrings.xml><?xml version="1.0" encoding="utf-8"?>
<sst xmlns="http://schemas.openxmlformats.org/spreadsheetml/2006/main" count="194" uniqueCount="141">
  <si>
    <t>Station Fence — Cost &amp; Freight Model</t>
  </si>
  <si>
    <t>Standard fence (plain + barb wire) — supplier to station</t>
  </si>
  <si>
    <t>FENCE SPECIFICATION</t>
  </si>
  <si>
    <t>Fence length to build</t>
  </si>
  <si>
    <t>km</t>
  </si>
  <si>
    <t>Plain wire strands</t>
  </si>
  <si>
    <t>strands</t>
  </si>
  <si>
    <t>Barb wire strands</t>
  </si>
  <si>
    <t>Wire wastage/overlap allowance</t>
  </si>
  <si>
    <t>%</t>
  </si>
  <si>
    <t>Covers tensioning, splicing, corner wrap losses</t>
  </si>
  <si>
    <t>Steel post spacing</t>
  </si>
  <si>
    <t>m</t>
  </si>
  <si>
    <t>Midpoint of your 15–20 m assumption</t>
  </si>
  <si>
    <t>Dropper spacing (between posts)</t>
  </si>
  <si>
    <t>Typical spacing to stop wires sagging/tangling. If 0, no dropper considered</t>
  </si>
  <si>
    <t>Strainer/extender spacing</t>
  </si>
  <si>
    <t>Assumed strainer assembly interval — CONFIRM, no strainer post/stay cost supplied yet</t>
  </si>
  <si>
    <t>MATERIAL WEIGHT ASSUMPTIONS</t>
  </si>
  <si>
    <t>Steel wire density</t>
  </si>
  <si>
    <t>kg/m³</t>
  </si>
  <si>
    <t>Standard mild steel density</t>
  </si>
  <si>
    <t>Barbed wire strand factor</t>
  </si>
  <si>
    <t>x</t>
  </si>
  <si>
    <t>Barbed wire = 2 twisted strands + barb clips vs a single plain wire of same gauge — estimate, verify vs supplier spec sheet</t>
  </si>
  <si>
    <t>Steel Y-post weight (1650mm)</t>
  </si>
  <si>
    <t>kg/post</t>
  </si>
  <si>
    <t>Typical 1.65m Y-post — CONFIRM against supplier spec</t>
  </si>
  <si>
    <t>Dropper weight</t>
  </si>
  <si>
    <t>kg/dropper</t>
  </si>
  <si>
    <t>Typical steel dropper — CONFIRM, no price supplied yet either</t>
  </si>
  <si>
    <t>Extender weight</t>
  </si>
  <si>
    <t>kg/unit</t>
  </si>
  <si>
    <t>Placeholder — CONFIRM what this item is/weighs</t>
  </si>
  <si>
    <t>FREIGHT ASSUMPTIONS</t>
  </si>
  <si>
    <t>Distance: supplier depot to station</t>
  </si>
  <si>
    <t>Editable — set to your actual road distance (default reflects a Perth-metro to remote-WA-station run)</t>
  </si>
  <si>
    <t>Freight rate table ($/tonne-km by load size)</t>
  </si>
  <si>
    <t>Load size bracket</t>
  </si>
  <si>
    <t>Up to (t)</t>
  </si>
  <si>
    <t>$/tonne-km</t>
  </si>
  <si>
    <t>Small consignment</t>
  </si>
  <si>
    <t>Part load</t>
  </si>
  <si>
    <t>Multi-pallet/part load</t>
  </si>
  <si>
    <t>Full truckload</t>
  </si>
  <si>
    <t>HARDWARE ASSUMPTIONS</t>
  </si>
  <si>
    <t>Wire joiners/strainers per strand, per strainer point</t>
  </si>
  <si>
    <t>units</t>
  </si>
  <si>
    <t>Gripple/Fastlink-style joiners double as in-line tensioners — 1 per wire per strainer assumed</t>
  </si>
  <si>
    <t>Wire clips per pack (500g)</t>
  </si>
  <si>
    <t>clips/pack</t>
  </si>
  <si>
    <t>ESTIMATE — pack is sold by weight, not count. Confirm actual clip count with supplier.</t>
  </si>
  <si>
    <t>ELECTRIC FENCE OPTION</t>
  </si>
  <si>
    <t>Electric fence design? (Y/N)</t>
  </si>
  <si>
    <t>N</t>
  </si>
  <si>
    <t>Insulators needed per post</t>
  </si>
  <si>
    <t>One insulator per wire per post = number of electric wires (earth + pulsed + earth)</t>
  </si>
  <si>
    <t>Number of earth rods</t>
  </si>
  <si>
    <t>Typically 3+ galvanised rods at the energiser earth point, in a moist location if possible</t>
  </si>
  <si>
    <t>Misc. electric hardware allowance ($)</t>
  </si>
  <si>
    <t>Line clamps, bullnose insulators, isolating switch, jumper leads</t>
  </si>
  <si>
    <t>Note: electric fences typically use wider post spacing (e.g. ~40 m strainer-to-strainer with mid-span steel pickets) than a conventional post-and-wire fence — adjust 'Steel post spacing' above if switching to electric.</t>
  </si>
  <si>
    <t>When Electric fence design = Y, ringlock and barbed wire costs are automatically zeroed in the Materials &amp; BOM tab (an electrified fence uses 3 plain wires only — earth/pulsed/earth) — no need to change the Ringlock/Barb Use flags yourself.</t>
  </si>
  <si>
    <t>Item</t>
  </si>
  <si>
    <t>Category</t>
  </si>
  <si>
    <t>Use?
(Y/N)</t>
  </si>
  <si>
    <t>Diameter
(mm)</t>
  </si>
  <si>
    <t>Roll length
(m)</t>
  </si>
  <si>
    <t>Length needed
(m, incl. wastage)</t>
  </si>
  <si>
    <t>Rolls
needed</t>
  </si>
  <si>
    <t>Material
cost ($)</t>
  </si>
  <si>
    <t>Total
weight (kg)</t>
  </si>
  <si>
    <t>Source</t>
  </si>
  <si>
    <t>Barbed Wire</t>
  </si>
  <si>
    <t>Barb</t>
  </si>
  <si>
    <t>CONFIRM  price and assumptions in Assumptions tab.</t>
  </si>
  <si>
    <t>Barbed Wire Galva</t>
  </si>
  <si>
    <t>Barbed Wire Galva (heavy)</t>
  </si>
  <si>
    <t>Plain (medium tensile)</t>
  </si>
  <si>
    <t>Plain</t>
  </si>
  <si>
    <t>Plain Galva (high tensile)</t>
  </si>
  <si>
    <t>Y</t>
  </si>
  <si>
    <t>Ringlock™ (6/70/30) Galv</t>
  </si>
  <si>
    <t>Ringlock</t>
  </si>
  <si>
    <t>Ringlock™ (7/90/30) Galv</t>
  </si>
  <si>
    <t>Ringlock™ (7/90/30) Heavy Galv</t>
  </si>
  <si>
    <t>Post</t>
  </si>
  <si>
    <t>Dropper (steel, 940mm)</t>
  </si>
  <si>
    <t>Dropper</t>
  </si>
  <si>
    <t>Extender</t>
  </si>
  <si>
    <t>Strainer accessory</t>
  </si>
  <si>
    <t>Strainer assembly (complete: post+cap+stay+footplate)</t>
  </si>
  <si>
    <t>Strainer</t>
  </si>
  <si>
    <t>Wire joiners/strainers (Gripple-style)</t>
  </si>
  <si>
    <t>Wire hardware</t>
  </si>
  <si>
    <t>Wire clips/ties (post &amp; dropper fixings)</t>
  </si>
  <si>
    <t>Note: gates and their posts/hinges/latches are not costed — add separately if the boundary needs vehicle/stock access points.</t>
  </si>
  <si>
    <t>TOTAL</t>
  </si>
  <si>
    <t>Insulators (porcelain cotton-reel)</t>
  </si>
  <si>
    <t>Earth rods</t>
  </si>
  <si>
    <t>Misc. electric hardware allowance</t>
  </si>
  <si>
    <t>Freight Cost — Supplier to Station</t>
  </si>
  <si>
    <t>Total material weight</t>
  </si>
  <si>
    <t>kg</t>
  </si>
  <si>
    <t>tonnes</t>
  </si>
  <si>
    <t>Distance: supplier to station</t>
  </si>
  <si>
    <t>Applicable rate band</t>
  </si>
  <si>
    <t>Rate</t>
  </si>
  <si>
    <t>FREIGHT COST (supplier → station)</t>
  </si>
  <si>
    <t>$</t>
  </si>
  <si>
    <t>Notes</t>
  </si>
  <si>
    <t>Rate bands and $/tonne-km are indicative benchmarks for regional WA road freight, not a quoted rate.</t>
  </si>
  <si>
    <t>Backload availability (rare on remote corridors) can add 20–40% vs a route with return freight.</t>
  </si>
  <si>
    <t>Get an actual quote from a rural carrier servicing your region, or ask your rural merchandise</t>
  </si>
  <si>
    <t>supplier (Elders/Nutrien/Landmark/AWM) for a delivered-to-station price — this can bundle freight</t>
  </si>
  <si>
    <t>into the unit cost and may beat a standalone freight booking.</t>
  </si>
  <si>
    <t>Station Fence — Cost Summary</t>
  </si>
  <si>
    <t>Boundary fence: materials + freight to station</t>
  </si>
  <si>
    <t>Fence length</t>
  </si>
  <si>
    <t>Materials cost</t>
  </si>
  <si>
    <t>Freight cost (supplier → station)</t>
  </si>
  <si>
    <t>GRAND TOTAL</t>
  </si>
  <si>
    <t>Cost per km of fence</t>
  </si>
  <si>
    <t>$/km</t>
  </si>
  <si>
    <t>Freight as % of total</t>
  </si>
  <si>
    <t>Key assumptions to confirm before relying on this total:</t>
  </si>
  <si>
    <t>• Wire clip pack count (150/pack assumed — packs are sold by weight, not count)</t>
  </si>
  <si>
    <t>• Strainer assembly weight (25kg/unit assumed — confirm against supplier spec)</t>
  </si>
  <si>
    <t>• Gates, gate posts, hinges, latches — not costed at all</t>
  </si>
  <si>
    <t>• Actual freight quote — model uses benchmark regional rates, not a real quote</t>
  </si>
  <si>
    <t xml:space="preserve">Ringlock™ </t>
  </si>
  <si>
    <t>Wt/unit
(kg) — est.</t>
  </si>
  <si>
    <t>Price/unit
($)</t>
  </si>
  <si>
    <t>Elect. Fence extras</t>
  </si>
  <si>
    <t>Y = replace the plain/barb wire stack with a 3-line earth-pulsed-earth electric fence. Barbed wire is automatically excluded when Y — barbed wire must never be used on an electrified fence (see Electric fencing in the west Kimberley environment, WA Dept of Agriculture, 1987).</t>
  </si>
  <si>
    <t>Energiser unit (one every 4 km)</t>
  </si>
  <si>
    <t>Barbed Wire Galva (high tensile)</t>
  </si>
  <si>
    <t>Galvanized-post (1650mm)</t>
  </si>
  <si>
    <t>Steel Y-post (1800mm)</t>
  </si>
  <si>
    <t>If Y, it considers a this type fence. Adjust others.</t>
  </si>
  <si>
    <t>• Confirm prices with 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</si>
</sst>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0;&quot;($&quot;#,##0.00\);\-"/>
    <numFmt numFmtId="165" formatCode="#,##0.0"/>
    <numFmt numFmtId="166" formatCode="\$#,##0;&quot;($&quot;#,##0\);\-"/>
    <numFmt numFmtId="167" formatCode="0.0%"/>
  </numFmts>
  <fonts count="14" x14ac:knownFonts="1">
    <font>
      <sz val="11"/>
      <color theme="1"/>
      <name val="Calibri"/>
      <family val="2"/>
      <charset val="1"/>
    </font>
    <font>
      <b/>
      <sz val="14"/>
      <name val="Arial"/>
      <family val="2"/>
      <charset val="1"/>
    </font>
    <font>
      <i/>
      <sz val="11"/>
      <color rgb="FF595959"/>
      <name val="Arial"/>
      <family val="2"/>
      <charset val="1"/>
    </font>
    <font>
      <b/>
      <sz val="11"/>
      <name val="Arial"/>
      <family val="2"/>
      <charset val="1"/>
    </font>
    <font>
      <sz val="11"/>
      <color rgb="FF0000FF"/>
      <name val="Arial"/>
      <family val="2"/>
      <charset val="1"/>
    </font>
    <font>
      <i/>
      <sz val="11"/>
      <color rgb="FF808080"/>
      <name val="Arial"/>
      <family val="2"/>
      <charset val="1"/>
    </font>
    <font>
      <i/>
      <sz val="9"/>
      <color rgb="FF80808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i/>
      <sz val="9"/>
      <color rgb="FF9C6500"/>
      <name val="Arial"/>
      <family val="2"/>
      <charset val="1"/>
    </font>
    <font>
      <sz val="11"/>
      <name val="Calibri"/>
      <family val="2"/>
      <charset val="1"/>
    </font>
    <font>
      <i/>
      <sz val="9"/>
      <color rgb="FF9C6500"/>
      <name val="Arial"/>
      <family val="2"/>
      <charset val="1"/>
    </font>
    <font>
      <i/>
      <sz val="9"/>
      <color rgb="FF595959"/>
      <name val="Arial"/>
      <family val="2"/>
      <charset val="1"/>
    </font>
    <font>
      <sz val="9"/>
      <color rgb="FF9C6500"/>
      <name val="Arial"/>
      <family val="2"/>
      <charset val="1"/>
    </font>
    <font>
      <sz val="11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E2EFDA"/>
      </patternFill>
    </fill>
    <fill>
      <patternFill patternType="solid">
        <fgColor rgb="FF1F4E78"/>
        <bgColor rgb="FF2E5B4C"/>
      </patternFill>
    </fill>
    <fill>
      <patternFill patternType="solid">
        <fgColor rgb="FFE2EFDA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164" fontId="4" fillId="0" borderId="1" xfId="0" applyNumberFormat="1" applyFont="1" applyBorder="1"/>
    <xf numFmtId="165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0" fontId="8" fillId="0" borderId="1" xfId="0" applyFont="1" applyBorder="1"/>
    <xf numFmtId="0" fontId="9" fillId="0" borderId="1" xfId="0" applyFont="1" applyBorder="1"/>
    <xf numFmtId="0" fontId="10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165" fontId="0" fillId="0" borderId="0" xfId="0" applyNumberFormat="1"/>
    <xf numFmtId="0" fontId="3" fillId="4" borderId="0" xfId="0" applyFont="1" applyFill="1"/>
    <xf numFmtId="166" fontId="3" fillId="4" borderId="0" xfId="0" applyNumberFormat="1" applyFont="1" applyFill="1"/>
    <xf numFmtId="0" fontId="5" fillId="4" borderId="0" xfId="0" applyFont="1" applyFill="1"/>
    <xf numFmtId="0" fontId="11" fillId="0" borderId="0" xfId="0" applyFont="1"/>
    <xf numFmtId="166" fontId="0" fillId="0" borderId="0" xfId="0" applyNumberFormat="1"/>
    <xf numFmtId="167" fontId="0" fillId="0" borderId="0" xfId="0" applyNumberFormat="1"/>
    <xf numFmtId="0" fontId="12" fillId="0" borderId="0" xfId="0" applyFont="1"/>
    <xf numFmtId="0" fontId="13" fillId="0" borderId="0" xfId="0" applyFont="1" applyAlignment="1">
      <alignment horizontal="right"/>
    </xf>
    <xf numFmtId="0" fontId="13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BFBFBF"/>
      <rgbColor rgb="FF808080"/>
      <rgbColor rgb="FF8FBF8F"/>
      <rgbColor rgb="FF8B5A2B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B3B3B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99999"/>
      <rgbColor rgb="FF003366"/>
      <rgbColor rgb="FF4C7A4C"/>
      <rgbColor rgb="FF003300"/>
      <rgbColor rgb="FF2E5B4C"/>
      <rgbColor rgb="FFB22222"/>
      <rgbColor rgb="FF555555"/>
      <rgbColor rgb="FF1F4E78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showGridLines="0" zoomScaleNormal="100" workbookViewId="0">
      <selection activeCell="B11" sqref="B11"/>
    </sheetView>
  </sheetViews>
  <sheetFormatPr defaultColWidth="8.6640625" defaultRowHeight="14.4" x14ac:dyDescent="0.3"/>
  <cols>
    <col min="1" max="1" width="34" customWidth="1"/>
    <col min="2" max="2" width="12" customWidth="1"/>
    <col min="3" max="3" width="10" customWidth="1"/>
    <col min="4" max="4" width="70" customWidth="1"/>
  </cols>
  <sheetData>
    <row r="1" spans="1:4" ht="17.25" customHeight="1" x14ac:dyDescent="0.3">
      <c r="A1" s="1" t="s">
        <v>0</v>
      </c>
    </row>
    <row r="2" spans="1:4" ht="15" customHeight="1" x14ac:dyDescent="0.3">
      <c r="A2" s="2" t="s">
        <v>1</v>
      </c>
    </row>
    <row r="4" spans="1:4" ht="15" customHeight="1" x14ac:dyDescent="0.3">
      <c r="A4" s="3" t="s">
        <v>2</v>
      </c>
      <c r="B4" s="4"/>
      <c r="C4" s="4"/>
      <c r="D4" s="4"/>
    </row>
    <row r="5" spans="1:4" ht="15" customHeight="1" x14ac:dyDescent="0.3">
      <c r="A5" t="s">
        <v>3</v>
      </c>
      <c r="B5" s="5">
        <v>10</v>
      </c>
      <c r="C5" s="6" t="s">
        <v>4</v>
      </c>
      <c r="D5" s="7"/>
    </row>
    <row r="6" spans="1:4" ht="15" customHeight="1" x14ac:dyDescent="0.3">
      <c r="A6" t="s">
        <v>5</v>
      </c>
      <c r="B6" s="5">
        <v>2</v>
      </c>
      <c r="C6" s="6" t="s">
        <v>6</v>
      </c>
      <c r="D6" s="7"/>
    </row>
    <row r="7" spans="1:4" ht="15" customHeight="1" x14ac:dyDescent="0.3">
      <c r="A7" t="s">
        <v>7</v>
      </c>
      <c r="B7" s="5">
        <v>2</v>
      </c>
      <c r="C7" s="6" t="s">
        <v>6</v>
      </c>
      <c r="D7" s="7"/>
    </row>
    <row r="8" spans="1:4" ht="15" customHeight="1" x14ac:dyDescent="0.3">
      <c r="A8" t="s">
        <v>130</v>
      </c>
      <c r="B8" s="33" t="s">
        <v>54</v>
      </c>
      <c r="C8" s="6"/>
      <c r="D8" s="7" t="s">
        <v>139</v>
      </c>
    </row>
    <row r="9" spans="1:4" ht="15" customHeight="1" x14ac:dyDescent="0.3">
      <c r="A9" t="s">
        <v>8</v>
      </c>
      <c r="B9" s="5">
        <v>0.08</v>
      </c>
      <c r="C9" s="6" t="s">
        <v>9</v>
      </c>
      <c r="D9" s="7" t="s">
        <v>10</v>
      </c>
    </row>
    <row r="10" spans="1:4" ht="15" customHeight="1" x14ac:dyDescent="0.3">
      <c r="A10" t="s">
        <v>11</v>
      </c>
      <c r="B10" s="5">
        <v>10</v>
      </c>
      <c r="C10" s="6" t="s">
        <v>12</v>
      </c>
      <c r="D10" s="7" t="s">
        <v>13</v>
      </c>
    </row>
    <row r="11" spans="1:4" ht="15" customHeight="1" x14ac:dyDescent="0.3">
      <c r="A11" t="s">
        <v>14</v>
      </c>
      <c r="B11" s="5">
        <v>0</v>
      </c>
      <c r="C11" s="6" t="s">
        <v>12</v>
      </c>
      <c r="D11" s="7" t="s">
        <v>15</v>
      </c>
    </row>
    <row r="12" spans="1:4" ht="15" customHeight="1" x14ac:dyDescent="0.3">
      <c r="A12" t="s">
        <v>16</v>
      </c>
      <c r="B12" s="5">
        <v>200</v>
      </c>
      <c r="C12" s="6" t="s">
        <v>12</v>
      </c>
      <c r="D12" s="7" t="s">
        <v>17</v>
      </c>
    </row>
    <row r="14" spans="1:4" ht="14.25" customHeight="1" x14ac:dyDescent="0.3">
      <c r="A14" s="3" t="s">
        <v>52</v>
      </c>
      <c r="B14" s="4"/>
      <c r="C14" s="4"/>
      <c r="D14" s="4"/>
    </row>
    <row r="15" spans="1:4" ht="14.25" customHeight="1" x14ac:dyDescent="0.3">
      <c r="A15" t="s">
        <v>53</v>
      </c>
      <c r="B15" s="31" t="s">
        <v>54</v>
      </c>
      <c r="D15" s="7" t="s">
        <v>134</v>
      </c>
    </row>
    <row r="16" spans="1:4" ht="14.25" customHeight="1" x14ac:dyDescent="0.3">
      <c r="A16" t="s">
        <v>55</v>
      </c>
      <c r="B16" s="32">
        <v>3</v>
      </c>
      <c r="D16" s="7" t="s">
        <v>56</v>
      </c>
    </row>
    <row r="17" spans="1:4" ht="14.25" customHeight="1" x14ac:dyDescent="0.3">
      <c r="A17" t="s">
        <v>57</v>
      </c>
      <c r="B17" s="32">
        <v>3</v>
      </c>
      <c r="D17" s="7" t="s">
        <v>58</v>
      </c>
    </row>
    <row r="18" spans="1:4" ht="14.25" customHeight="1" x14ac:dyDescent="0.3">
      <c r="A18" t="s">
        <v>59</v>
      </c>
      <c r="B18" s="32">
        <v>150</v>
      </c>
      <c r="D18" s="7" t="s">
        <v>60</v>
      </c>
    </row>
    <row r="19" spans="1:4" ht="14.25" customHeight="1" x14ac:dyDescent="0.3">
      <c r="A19" s="7" t="s">
        <v>61</v>
      </c>
    </row>
    <row r="20" spans="1:4" x14ac:dyDescent="0.3">
      <c r="A20" s="7" t="s">
        <v>62</v>
      </c>
    </row>
    <row r="22" spans="1:4" ht="15" customHeight="1" x14ac:dyDescent="0.3">
      <c r="A22" s="3" t="s">
        <v>34</v>
      </c>
      <c r="B22" s="4"/>
      <c r="C22" s="4"/>
      <c r="D22" s="4"/>
    </row>
    <row r="23" spans="1:4" ht="15" customHeight="1" x14ac:dyDescent="0.3">
      <c r="A23" t="s">
        <v>35</v>
      </c>
      <c r="B23" s="5">
        <v>900</v>
      </c>
      <c r="C23" s="6" t="s">
        <v>4</v>
      </c>
      <c r="D23" s="7" t="s">
        <v>36</v>
      </c>
    </row>
    <row r="25" spans="1:4" ht="15" customHeight="1" x14ac:dyDescent="0.3">
      <c r="A25" s="3" t="s">
        <v>37</v>
      </c>
      <c r="B25" s="4"/>
      <c r="C25" s="4"/>
      <c r="D25" s="4"/>
    </row>
    <row r="26" spans="1:4" ht="15" customHeight="1" x14ac:dyDescent="0.3">
      <c r="A26" s="8" t="s">
        <v>38</v>
      </c>
      <c r="B26" s="8" t="s">
        <v>39</v>
      </c>
      <c r="C26" s="8" t="s">
        <v>40</v>
      </c>
    </row>
    <row r="27" spans="1:4" ht="15" customHeight="1" x14ac:dyDescent="0.3">
      <c r="A27" t="s">
        <v>41</v>
      </c>
      <c r="B27" s="5">
        <v>1</v>
      </c>
      <c r="C27" s="5">
        <v>0.55000000000000004</v>
      </c>
    </row>
    <row r="28" spans="1:4" ht="15" customHeight="1" x14ac:dyDescent="0.3">
      <c r="A28" t="s">
        <v>42</v>
      </c>
      <c r="B28" s="5">
        <v>5</v>
      </c>
      <c r="C28" s="5">
        <v>0.3</v>
      </c>
    </row>
    <row r="29" spans="1:4" ht="15" customHeight="1" x14ac:dyDescent="0.3">
      <c r="A29" t="s">
        <v>43</v>
      </c>
      <c r="B29" s="5">
        <v>20</v>
      </c>
      <c r="C29" s="5">
        <v>0.18</v>
      </c>
    </row>
    <row r="30" spans="1:4" ht="15" customHeight="1" x14ac:dyDescent="0.3">
      <c r="A30" t="s">
        <v>44</v>
      </c>
      <c r="B30" s="5">
        <v>9999</v>
      </c>
      <c r="C30" s="5">
        <v>0.14000000000000001</v>
      </c>
    </row>
    <row r="32" spans="1:4" ht="14.25" customHeight="1" x14ac:dyDescent="0.3">
      <c r="A32" s="3" t="s">
        <v>45</v>
      </c>
      <c r="B32" s="4"/>
      <c r="C32" s="4"/>
      <c r="D32" s="4"/>
    </row>
    <row r="33" spans="1:4" ht="14.25" customHeight="1" x14ac:dyDescent="0.3">
      <c r="A33" t="s">
        <v>46</v>
      </c>
      <c r="B33" s="5">
        <v>1</v>
      </c>
      <c r="C33" t="s">
        <v>47</v>
      </c>
      <c r="D33" s="7" t="s">
        <v>48</v>
      </c>
    </row>
    <row r="34" spans="1:4" ht="14.25" customHeight="1" x14ac:dyDescent="0.3">
      <c r="A34" t="s">
        <v>49</v>
      </c>
      <c r="B34" s="5">
        <v>150</v>
      </c>
      <c r="C34" t="s">
        <v>50</v>
      </c>
      <c r="D34" s="7" t="s">
        <v>51</v>
      </c>
    </row>
    <row r="36" spans="1:4" ht="15" customHeight="1" x14ac:dyDescent="0.3">
      <c r="A36" s="3" t="s">
        <v>18</v>
      </c>
      <c r="B36" s="4"/>
      <c r="C36" s="4"/>
      <c r="D36" s="4"/>
    </row>
    <row r="37" spans="1:4" ht="15" customHeight="1" x14ac:dyDescent="0.3">
      <c r="A37" t="s">
        <v>19</v>
      </c>
      <c r="B37" s="5">
        <v>7850</v>
      </c>
      <c r="C37" s="6" t="s">
        <v>20</v>
      </c>
      <c r="D37" s="7" t="s">
        <v>21</v>
      </c>
    </row>
    <row r="38" spans="1:4" ht="15" customHeight="1" x14ac:dyDescent="0.3">
      <c r="A38" t="s">
        <v>22</v>
      </c>
      <c r="B38" s="5">
        <v>2.2000000000000002</v>
      </c>
      <c r="C38" s="6" t="s">
        <v>23</v>
      </c>
      <c r="D38" s="7" t="s">
        <v>24</v>
      </c>
    </row>
    <row r="39" spans="1:4" ht="15" customHeight="1" x14ac:dyDescent="0.3">
      <c r="A39" t="s">
        <v>25</v>
      </c>
      <c r="B39" s="5">
        <v>6</v>
      </c>
      <c r="C39" s="6" t="s">
        <v>26</v>
      </c>
      <c r="D39" s="7" t="s">
        <v>27</v>
      </c>
    </row>
    <row r="40" spans="1:4" ht="15" customHeight="1" x14ac:dyDescent="0.3">
      <c r="A40" t="s">
        <v>28</v>
      </c>
      <c r="B40" s="5">
        <v>1.5</v>
      </c>
      <c r="C40" s="6" t="s">
        <v>29</v>
      </c>
      <c r="D40" s="7" t="s">
        <v>30</v>
      </c>
    </row>
    <row r="41" spans="1:4" ht="15" customHeight="1" x14ac:dyDescent="0.3">
      <c r="A41" t="s">
        <v>31</v>
      </c>
      <c r="B41" s="5">
        <v>1</v>
      </c>
      <c r="C41" s="6" t="s">
        <v>32</v>
      </c>
      <c r="D41" s="7" t="s">
        <v>33</v>
      </c>
    </row>
  </sheetData>
  <dataValidations count="1">
    <dataValidation type="list" allowBlank="1" showInputMessage="1" showErrorMessage="1" sqref="B8 B15" xr:uid="{62388FB5-E8A6-4812-B9A2-E6D832442C08}">
      <formula1>"Y,N"</formula1>
    </dataValidation>
  </dataValidations>
  <pageMargins left="0.75" right="0.75" top="1" bottom="1" header="0.51180555555555596" footer="0.511811023622047"/>
  <pageSetup paperSize="9" orientation="portrait" horizontalDpi="300" verticalDpi="300"/>
  <headerFooter>
    <oddHeader>&amp;C&amp;"Aptos,Regular"&amp;1 &amp;Kff0000 OFFICIAL#_x005F_x000d_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showGridLines="0" zoomScaleNormal="100" workbookViewId="0">
      <selection activeCell="B16" sqref="B16:J17"/>
    </sheetView>
  </sheetViews>
  <sheetFormatPr defaultColWidth="8.6640625" defaultRowHeight="14.4" x14ac:dyDescent="0.3"/>
  <cols>
    <col min="1" max="1" width="40" customWidth="1"/>
    <col min="2" max="2" width="18" customWidth="1"/>
    <col min="3" max="3" width="8" customWidth="1"/>
    <col min="4" max="4" width="10" customWidth="1"/>
    <col min="5" max="5" width="12" customWidth="1"/>
    <col min="6" max="6" width="11" customWidth="1"/>
    <col min="7" max="7" width="12" customWidth="1"/>
    <col min="8" max="8" width="20" customWidth="1"/>
    <col min="9" max="9" width="10" customWidth="1"/>
    <col min="10" max="11" width="13" customWidth="1"/>
    <col min="12" max="12" width="46" customWidth="1"/>
  </cols>
  <sheetData>
    <row r="1" spans="1:12" ht="33.75" customHeight="1" x14ac:dyDescent="0.3">
      <c r="A1" s="9" t="s">
        <v>63</v>
      </c>
      <c r="B1" s="9" t="s">
        <v>64</v>
      </c>
      <c r="C1" s="9" t="s">
        <v>65</v>
      </c>
      <c r="D1" s="9" t="s">
        <v>66</v>
      </c>
      <c r="E1" s="9" t="s">
        <v>67</v>
      </c>
      <c r="F1" s="9" t="s">
        <v>132</v>
      </c>
      <c r="G1" s="9" t="s">
        <v>131</v>
      </c>
      <c r="H1" s="9" t="s">
        <v>68</v>
      </c>
      <c r="I1" s="9" t="s">
        <v>69</v>
      </c>
      <c r="J1" s="9" t="s">
        <v>70</v>
      </c>
      <c r="K1" s="9" t="s">
        <v>71</v>
      </c>
      <c r="L1" s="9" t="s">
        <v>72</v>
      </c>
    </row>
    <row r="2" spans="1:12" ht="14.25" customHeight="1" x14ac:dyDescent="0.3">
      <c r="A2" s="10" t="s">
        <v>73</v>
      </c>
      <c r="B2" s="10" t="s">
        <v>74</v>
      </c>
      <c r="C2" s="11" t="s">
        <v>54</v>
      </c>
      <c r="D2" s="11">
        <v>1.57</v>
      </c>
      <c r="E2" s="11">
        <v>500</v>
      </c>
      <c r="F2" s="12">
        <v>111.5</v>
      </c>
      <c r="G2" s="13">
        <f>PI()*(D2/1000/2)^2*Assumptions!$B$37*IF(B2="Barb",Assumptions!$B$38,1)*E2</f>
        <v>16.716737701095525</v>
      </c>
      <c r="H2" s="14">
        <f>IF(Assumptions!$B$15="Y",0,IF(C2="Y",Assumptions!$B$5*1000*Assumptions!$B$7*(1+Assumptions!$B$9),0))</f>
        <v>0</v>
      </c>
      <c r="I2" s="14">
        <f t="shared" ref="I2:I10" si="0">IF(H2=0,0,ROUNDUP(H2/E2,0))</f>
        <v>0</v>
      </c>
      <c r="J2" s="15">
        <f t="shared" ref="J2:J17" si="1">I2*F2</f>
        <v>0</v>
      </c>
      <c r="K2" s="14">
        <f t="shared" ref="K2:K17" si="2">I2*G2</f>
        <v>0</v>
      </c>
      <c r="L2" s="16" t="s">
        <v>75</v>
      </c>
    </row>
    <row r="3" spans="1:12" ht="14.25" customHeight="1" x14ac:dyDescent="0.3">
      <c r="A3" s="10" t="s">
        <v>76</v>
      </c>
      <c r="B3" s="10" t="s">
        <v>74</v>
      </c>
      <c r="C3" s="11" t="s">
        <v>54</v>
      </c>
      <c r="D3" s="11">
        <v>1.57</v>
      </c>
      <c r="E3" s="11">
        <v>500</v>
      </c>
      <c r="F3" s="12">
        <v>137.5</v>
      </c>
      <c r="G3" s="13">
        <f>PI()*(D3/1000/2)^2*Assumptions!$B$37*IF(B3="Barb",Assumptions!$B$38,1)*E3</f>
        <v>16.716737701095525</v>
      </c>
      <c r="H3" s="14">
        <f>IF(Assumptions!$B$15="Y",0,IF(C3="Y",Assumptions!$B$5*1000*Assumptions!$B$7*(1+Assumptions!$B$9),0))</f>
        <v>0</v>
      </c>
      <c r="I3" s="14">
        <f t="shared" si="0"/>
        <v>0</v>
      </c>
      <c r="J3" s="15">
        <f t="shared" si="1"/>
        <v>0</v>
      </c>
      <c r="K3" s="14">
        <f t="shared" si="2"/>
        <v>0</v>
      </c>
      <c r="L3" s="16" t="s">
        <v>75</v>
      </c>
    </row>
    <row r="4" spans="1:12" ht="14.25" customHeight="1" x14ac:dyDescent="0.3">
      <c r="A4" s="10" t="s">
        <v>136</v>
      </c>
      <c r="B4" s="10" t="s">
        <v>74</v>
      </c>
      <c r="C4" s="11" t="s">
        <v>81</v>
      </c>
      <c r="D4" s="11">
        <v>1.8</v>
      </c>
      <c r="E4" s="11">
        <v>500</v>
      </c>
      <c r="F4" s="12">
        <v>150</v>
      </c>
      <c r="G4" s="13">
        <f>PI()*(D4/1000/2)^2*Assumptions!$B$37*IF(B4="Barb",Assumptions!$B$38,1)*E4</f>
        <v>21.97339857663577</v>
      </c>
      <c r="H4" s="14">
        <f>IF(Assumptions!$B$15="Y",0,IF(C4="Y",Assumptions!$B$5*1000*Assumptions!$B$7*(1+Assumptions!$B$9),0))</f>
        <v>21600</v>
      </c>
      <c r="I4" s="14">
        <f t="shared" ref="I4" si="3">IF(H4=0,0,ROUNDUP(H4/E4,0))</f>
        <v>44</v>
      </c>
      <c r="J4" s="15">
        <f t="shared" ref="J4" si="4">I4*F4</f>
        <v>6600</v>
      </c>
      <c r="K4" s="14">
        <f t="shared" ref="K4" si="5">I4*G4</f>
        <v>966.82953737197386</v>
      </c>
      <c r="L4" s="16" t="s">
        <v>75</v>
      </c>
    </row>
    <row r="5" spans="1:12" ht="14.25" customHeight="1" x14ac:dyDescent="0.3">
      <c r="A5" s="10" t="s">
        <v>77</v>
      </c>
      <c r="B5" s="10" t="s">
        <v>74</v>
      </c>
      <c r="C5" s="11" t="s">
        <v>54</v>
      </c>
      <c r="D5" s="11">
        <v>2.5</v>
      </c>
      <c r="E5" s="11">
        <v>400</v>
      </c>
      <c r="F5" s="12">
        <v>185</v>
      </c>
      <c r="G5" s="13">
        <f>PI()*(D5/1000/2)^2*Assumptions!$B$37*IF(B5="Barb",Assumptions!$B$38,1)*E5</f>
        <v>33.90956570468483</v>
      </c>
      <c r="H5" s="14">
        <f>IF(Assumptions!$B$15="Y",0,IF(C5="Y",Assumptions!$B$5*1000*Assumptions!$B$7*(1+Assumptions!$B$9),0))</f>
        <v>0</v>
      </c>
      <c r="I5" s="14">
        <f t="shared" si="0"/>
        <v>0</v>
      </c>
      <c r="J5" s="15">
        <f t="shared" si="1"/>
        <v>0</v>
      </c>
      <c r="K5" s="14">
        <f t="shared" si="2"/>
        <v>0</v>
      </c>
      <c r="L5" s="16" t="s">
        <v>75</v>
      </c>
    </row>
    <row r="6" spans="1:12" ht="14.25" customHeight="1" x14ac:dyDescent="0.3">
      <c r="A6" s="10" t="s">
        <v>78</v>
      </c>
      <c r="B6" s="10" t="s">
        <v>79</v>
      </c>
      <c r="C6" s="11" t="s">
        <v>54</v>
      </c>
      <c r="D6" s="11">
        <v>2.5</v>
      </c>
      <c r="E6" s="11">
        <v>1500</v>
      </c>
      <c r="F6" s="12">
        <v>190.3</v>
      </c>
      <c r="G6" s="13">
        <f>PI()*(D6/1000/2)^2*Assumptions!$B$37*IF(B6="Barb",Assumptions!$B$38,1)*E6</f>
        <v>57.800396087530956</v>
      </c>
      <c r="H6" s="14">
        <f>IF(C6="Y",Assumptions!$B$5*1000*IF(Assumptions!$B$15="Y",3,Assumptions!$B$6)*(1+Assumptions!$B$9),0)</f>
        <v>0</v>
      </c>
      <c r="I6" s="14">
        <f t="shared" si="0"/>
        <v>0</v>
      </c>
      <c r="J6" s="15">
        <f t="shared" si="1"/>
        <v>0</v>
      </c>
      <c r="K6" s="14">
        <f t="shared" si="2"/>
        <v>0</v>
      </c>
      <c r="L6" s="16" t="s">
        <v>75</v>
      </c>
    </row>
    <row r="7" spans="1:12" ht="14.25" customHeight="1" x14ac:dyDescent="0.3">
      <c r="A7" s="10" t="s">
        <v>80</v>
      </c>
      <c r="B7" s="10" t="s">
        <v>79</v>
      </c>
      <c r="C7" s="11" t="s">
        <v>81</v>
      </c>
      <c r="D7" s="11">
        <v>2.5</v>
      </c>
      <c r="E7" s="11">
        <v>1500</v>
      </c>
      <c r="F7" s="12">
        <v>160</v>
      </c>
      <c r="G7" s="13">
        <f>PI()*(D7/1000/2)^2*Assumptions!$B$37*IF(B7="Barb",Assumptions!$B$38,1)*E7</f>
        <v>57.800396087530956</v>
      </c>
      <c r="H7" s="14">
        <f>IF(C7="Y",Assumptions!$B$5*1000*IF(Assumptions!$B$15="Y",3,Assumptions!$B$6)*(1+Assumptions!$B$9),0)</f>
        <v>21600</v>
      </c>
      <c r="I7" s="14">
        <f t="shared" si="0"/>
        <v>15</v>
      </c>
      <c r="J7" s="15">
        <f t="shared" si="1"/>
        <v>2400</v>
      </c>
      <c r="K7" s="14">
        <f t="shared" si="2"/>
        <v>867.0059413129643</v>
      </c>
      <c r="L7" s="16" t="s">
        <v>75</v>
      </c>
    </row>
    <row r="8" spans="1:12" ht="14.25" customHeight="1" x14ac:dyDescent="0.3">
      <c r="A8" s="17" t="s">
        <v>82</v>
      </c>
      <c r="B8" s="17" t="s">
        <v>83</v>
      </c>
      <c r="C8" s="11" t="s">
        <v>54</v>
      </c>
      <c r="D8" s="11">
        <v>2.5</v>
      </c>
      <c r="E8" s="11">
        <v>200</v>
      </c>
      <c r="F8" s="12">
        <v>330</v>
      </c>
      <c r="G8" s="13">
        <v>70</v>
      </c>
      <c r="H8" s="14">
        <f>IF(Assumptions!$B$15="Y",0,IF(AND(C8="Y",Assumptions!$B$8="Y"),Assumptions!$B$5*1000*(1+Assumptions!$B$9),0))</f>
        <v>0</v>
      </c>
      <c r="I8" s="14">
        <f t="shared" si="0"/>
        <v>0</v>
      </c>
      <c r="J8" s="15">
        <f t="shared" si="1"/>
        <v>0</v>
      </c>
      <c r="K8" s="14">
        <f t="shared" si="2"/>
        <v>0</v>
      </c>
      <c r="L8" s="16" t="s">
        <v>75</v>
      </c>
    </row>
    <row r="9" spans="1:12" ht="14.25" customHeight="1" x14ac:dyDescent="0.3">
      <c r="A9" s="17" t="s">
        <v>84</v>
      </c>
      <c r="B9" s="17" t="s">
        <v>83</v>
      </c>
      <c r="C9" s="11" t="s">
        <v>54</v>
      </c>
      <c r="D9" s="11">
        <v>2.5</v>
      </c>
      <c r="E9" s="11">
        <v>200</v>
      </c>
      <c r="F9" s="12">
        <v>340</v>
      </c>
      <c r="G9" s="13">
        <v>85</v>
      </c>
      <c r="H9" s="14">
        <f>IF(Assumptions!$B$15="Y",0,IF(AND(C9="Y",Assumptions!$B$8="Y"),Assumptions!$B$5*1000*(1+Assumptions!$B$9),0))</f>
        <v>0</v>
      </c>
      <c r="I9" s="14">
        <f t="shared" si="0"/>
        <v>0</v>
      </c>
      <c r="J9" s="15">
        <f t="shared" si="1"/>
        <v>0</v>
      </c>
      <c r="K9" s="14">
        <f t="shared" si="2"/>
        <v>0</v>
      </c>
      <c r="L9" s="16" t="s">
        <v>75</v>
      </c>
    </row>
    <row r="10" spans="1:12" ht="14.25" customHeight="1" x14ac:dyDescent="0.3">
      <c r="A10" s="17" t="s">
        <v>85</v>
      </c>
      <c r="B10" s="17" t="s">
        <v>83</v>
      </c>
      <c r="C10" s="11" t="s">
        <v>81</v>
      </c>
      <c r="D10" s="11">
        <v>2.5</v>
      </c>
      <c r="E10" s="11">
        <v>200</v>
      </c>
      <c r="F10" s="12">
        <v>350</v>
      </c>
      <c r="G10" s="13">
        <v>85</v>
      </c>
      <c r="H10" s="14">
        <f>IF(Assumptions!$B$15="Y",0,IF(AND(C10="Y",Assumptions!$B$8="Y"),Assumptions!$B$5*1000*(1+Assumptions!$B$9),0))</f>
        <v>0</v>
      </c>
      <c r="I10" s="14">
        <f t="shared" si="0"/>
        <v>0</v>
      </c>
      <c r="J10" s="15">
        <f t="shared" si="1"/>
        <v>0</v>
      </c>
      <c r="K10" s="14">
        <f t="shared" si="2"/>
        <v>0</v>
      </c>
      <c r="L10" s="16" t="s">
        <v>75</v>
      </c>
    </row>
    <row r="11" spans="1:12" ht="14.25" customHeight="1" x14ac:dyDescent="0.3">
      <c r="A11" s="10" t="s">
        <v>137</v>
      </c>
      <c r="B11" s="10" t="s">
        <v>86</v>
      </c>
      <c r="C11" s="11" t="s">
        <v>54</v>
      </c>
      <c r="D11" s="11"/>
      <c r="E11" s="11"/>
      <c r="F11" s="12">
        <v>9</v>
      </c>
      <c r="G11" s="13">
        <f>Assumptions!$B$39</f>
        <v>6</v>
      </c>
      <c r="H11" s="10"/>
      <c r="I11" s="14">
        <f>IF(C11="N",0,ROUNDUP(Assumptions!$B$5*1000/Assumptions!$B$10,0)+1)</f>
        <v>0</v>
      </c>
      <c r="J11" s="15">
        <f t="shared" ref="J11" si="6">I11*F11</f>
        <v>0</v>
      </c>
      <c r="K11" s="14">
        <f t="shared" ref="K11" si="7">I11*G11</f>
        <v>0</v>
      </c>
      <c r="L11" s="16" t="s">
        <v>75</v>
      </c>
    </row>
    <row r="12" spans="1:12" ht="14.25" customHeight="1" x14ac:dyDescent="0.3">
      <c r="A12" s="10" t="s">
        <v>138</v>
      </c>
      <c r="B12" s="10" t="s">
        <v>86</v>
      </c>
      <c r="C12" s="11" t="s">
        <v>81</v>
      </c>
      <c r="D12" s="10"/>
      <c r="E12" s="10"/>
      <c r="F12" s="12">
        <v>12</v>
      </c>
      <c r="G12" s="13">
        <f>Assumptions!$B$39</f>
        <v>6</v>
      </c>
      <c r="H12" s="10"/>
      <c r="I12" s="14">
        <f>ROUNDUP(Assumptions!$B$5*1000/Assumptions!$B$10,0)+1</f>
        <v>1001</v>
      </c>
      <c r="J12" s="15">
        <f t="shared" si="1"/>
        <v>12012</v>
      </c>
      <c r="K12" s="14">
        <f t="shared" si="2"/>
        <v>6006</v>
      </c>
      <c r="L12" s="16" t="s">
        <v>75</v>
      </c>
    </row>
    <row r="13" spans="1:12" ht="14.25" customHeight="1" x14ac:dyDescent="0.3">
      <c r="A13" s="10" t="s">
        <v>87</v>
      </c>
      <c r="B13" s="10" t="s">
        <v>88</v>
      </c>
      <c r="C13" s="10"/>
      <c r="D13" s="10"/>
      <c r="E13" s="10"/>
      <c r="F13" s="12">
        <v>4</v>
      </c>
      <c r="G13" s="13">
        <f>Assumptions!$B$40</f>
        <v>1.5</v>
      </c>
      <c r="H13" s="10"/>
      <c r="I13" s="14">
        <f>IFERROR((ROUNDUP(Assumptions!$B$5*1000/Assumptions!$B$10,0))*MAX(ROUND(Assumptions!$B$10/Assumptions!$B$11,0)-1,0),0)</f>
        <v>0</v>
      </c>
      <c r="J13" s="15">
        <f t="shared" si="1"/>
        <v>0</v>
      </c>
      <c r="K13" s="14">
        <f t="shared" si="2"/>
        <v>0</v>
      </c>
      <c r="L13" s="16" t="s">
        <v>75</v>
      </c>
    </row>
    <row r="14" spans="1:12" ht="14.25" customHeight="1" x14ac:dyDescent="0.3">
      <c r="A14" s="10" t="s">
        <v>89</v>
      </c>
      <c r="B14" s="10" t="s">
        <v>90</v>
      </c>
      <c r="C14" s="10"/>
      <c r="D14" s="10"/>
      <c r="E14" s="10"/>
      <c r="F14" s="12">
        <v>6.6</v>
      </c>
      <c r="G14" s="13">
        <f>Assumptions!$B$41</f>
        <v>1</v>
      </c>
      <c r="H14" s="10"/>
      <c r="I14" s="14">
        <f>ROUNDUP(Assumptions!$B$5*1000/Assumptions!$B$12,0)</f>
        <v>50</v>
      </c>
      <c r="J14" s="15">
        <f t="shared" si="1"/>
        <v>330</v>
      </c>
      <c r="K14" s="14">
        <f t="shared" si="2"/>
        <v>50</v>
      </c>
      <c r="L14" s="16" t="s">
        <v>75</v>
      </c>
    </row>
    <row r="15" spans="1:12" ht="14.25" customHeight="1" x14ac:dyDescent="0.3">
      <c r="A15" s="10" t="s">
        <v>91</v>
      </c>
      <c r="B15" s="10" t="s">
        <v>92</v>
      </c>
      <c r="C15" s="10"/>
      <c r="D15" s="10"/>
      <c r="E15" s="10"/>
      <c r="F15" s="12">
        <v>210</v>
      </c>
      <c r="G15" s="13">
        <v>25</v>
      </c>
      <c r="H15" s="10"/>
      <c r="I15" s="14">
        <f>I14</f>
        <v>50</v>
      </c>
      <c r="J15" s="15">
        <f t="shared" si="1"/>
        <v>10500</v>
      </c>
      <c r="K15" s="14">
        <f t="shared" si="2"/>
        <v>1250</v>
      </c>
      <c r="L15" s="16" t="s">
        <v>75</v>
      </c>
    </row>
    <row r="16" spans="1:12" ht="14.25" customHeight="1" x14ac:dyDescent="0.3">
      <c r="A16" s="10" t="s">
        <v>93</v>
      </c>
      <c r="B16" s="10" t="s">
        <v>94</v>
      </c>
      <c r="C16" s="10"/>
      <c r="D16" s="10"/>
      <c r="E16" s="10"/>
      <c r="F16" s="12">
        <v>2.9</v>
      </c>
      <c r="G16" s="13">
        <v>0.02</v>
      </c>
      <c r="H16" s="10"/>
      <c r="I16" s="14">
        <f>I15*(Assumptions!$B$6+Assumptions!$B$7)*Assumptions!$B$33</f>
        <v>200</v>
      </c>
      <c r="J16" s="15">
        <f t="shared" si="1"/>
        <v>580</v>
      </c>
      <c r="K16" s="14">
        <f t="shared" si="2"/>
        <v>4</v>
      </c>
      <c r="L16" s="16" t="s">
        <v>75</v>
      </c>
    </row>
    <row r="17" spans="1:12" ht="14.25" customHeight="1" x14ac:dyDescent="0.3">
      <c r="A17" s="10" t="s">
        <v>95</v>
      </c>
      <c r="B17" s="10" t="s">
        <v>94</v>
      </c>
      <c r="C17" s="10"/>
      <c r="D17" s="10"/>
      <c r="E17" s="10"/>
      <c r="F17" s="12">
        <v>13</v>
      </c>
      <c r="G17" s="13">
        <v>0.5</v>
      </c>
      <c r="H17" s="10"/>
      <c r="I17" s="14">
        <f>ROUNDUP(((Assumptions!$B$6+Assumptions!$B$7)*(I12+I13))/Assumptions!$B$34,0)</f>
        <v>27</v>
      </c>
      <c r="J17" s="15">
        <f t="shared" si="1"/>
        <v>351</v>
      </c>
      <c r="K17" s="14">
        <f t="shared" si="2"/>
        <v>13.5</v>
      </c>
      <c r="L17" s="16" t="s">
        <v>75</v>
      </c>
    </row>
    <row r="18" spans="1:12" x14ac:dyDescent="0.3">
      <c r="A18" s="10" t="s">
        <v>98</v>
      </c>
      <c r="B18" s="10" t="s">
        <v>133</v>
      </c>
      <c r="C18" s="10"/>
      <c r="D18" s="10"/>
      <c r="E18" s="10"/>
      <c r="F18" s="12">
        <v>0.9</v>
      </c>
      <c r="G18" s="13">
        <v>0.02</v>
      </c>
      <c r="H18" s="10"/>
      <c r="I18" s="14">
        <f>IF(Assumptions!$B$15="Y",(I12+I13)*Assumptions!$B$16,0)</f>
        <v>0</v>
      </c>
      <c r="J18" s="15">
        <f>I18*F18</f>
        <v>0</v>
      </c>
      <c r="K18" s="14">
        <f>I18*G18</f>
        <v>0</v>
      </c>
      <c r="L18" s="16" t="s">
        <v>75</v>
      </c>
    </row>
    <row r="19" spans="1:12" x14ac:dyDescent="0.3">
      <c r="A19" s="10" t="s">
        <v>135</v>
      </c>
      <c r="B19" s="10" t="s">
        <v>133</v>
      </c>
      <c r="C19" s="10"/>
      <c r="D19" s="10"/>
      <c r="E19" s="10"/>
      <c r="F19" s="12">
        <v>250</v>
      </c>
      <c r="G19" s="13">
        <v>3</v>
      </c>
      <c r="H19" s="10"/>
      <c r="I19" s="14">
        <f>IF(Assumptions!$B$15="Y",ROUNDUP(Assumptions!B5/4,0),0)</f>
        <v>0</v>
      </c>
      <c r="J19" s="15">
        <f>I19*F19</f>
        <v>0</v>
      </c>
      <c r="K19" s="14">
        <f>I19*G19</f>
        <v>0</v>
      </c>
      <c r="L19" s="16" t="s">
        <v>75</v>
      </c>
    </row>
    <row r="20" spans="1:12" x14ac:dyDescent="0.3">
      <c r="A20" s="10" t="s">
        <v>99</v>
      </c>
      <c r="B20" s="10" t="s">
        <v>133</v>
      </c>
      <c r="C20" s="10"/>
      <c r="D20" s="10"/>
      <c r="E20" s="10"/>
      <c r="F20" s="12">
        <v>35</v>
      </c>
      <c r="G20" s="13">
        <v>1</v>
      </c>
      <c r="H20" s="10"/>
      <c r="I20" s="14">
        <f>IF(Assumptions!$B$15="Y",Assumptions!$B$17,0)</f>
        <v>0</v>
      </c>
      <c r="J20" s="15">
        <f>I20*F20</f>
        <v>0</v>
      </c>
      <c r="K20" s="14">
        <f>I20*G20</f>
        <v>0</v>
      </c>
      <c r="L20" s="16" t="s">
        <v>75</v>
      </c>
    </row>
    <row r="21" spans="1:12" x14ac:dyDescent="0.3">
      <c r="A21" s="10" t="s">
        <v>100</v>
      </c>
      <c r="B21" s="10" t="s">
        <v>133</v>
      </c>
      <c r="C21" s="10"/>
      <c r="D21" s="10"/>
      <c r="E21" s="10"/>
      <c r="F21" s="12">
        <v>150</v>
      </c>
      <c r="G21" s="13">
        <v>2</v>
      </c>
      <c r="H21" s="10"/>
      <c r="I21" s="14">
        <f>IF(Assumptions!$B$15="Y",1,0)</f>
        <v>0</v>
      </c>
      <c r="J21" s="15">
        <f>I21*F21</f>
        <v>0</v>
      </c>
      <c r="K21" s="14">
        <f>I21*G21</f>
        <v>0</v>
      </c>
      <c r="L21" s="16" t="s">
        <v>75</v>
      </c>
    </row>
    <row r="23" spans="1:12" ht="14.25" customHeight="1" x14ac:dyDescent="0.3">
      <c r="A23" s="18" t="s">
        <v>96</v>
      </c>
    </row>
    <row r="25" spans="1:12" ht="14.25" customHeight="1" x14ac:dyDescent="0.3">
      <c r="A25" s="19" t="s">
        <v>97</v>
      </c>
      <c r="B25" s="10"/>
      <c r="C25" s="10"/>
      <c r="D25" s="10"/>
      <c r="E25" s="10"/>
      <c r="F25" s="10"/>
      <c r="G25" s="10"/>
      <c r="H25" s="10"/>
      <c r="I25" s="10"/>
      <c r="J25" s="20">
        <f>SUM(J2:J21)</f>
        <v>32773</v>
      </c>
      <c r="K25" s="21">
        <f>SUM(K2:K21)</f>
        <v>9157.3354786849377</v>
      </c>
      <c r="L25" s="10"/>
    </row>
  </sheetData>
  <pageMargins left="0.75" right="0.75" top="1" bottom="1" header="0.51180555555555596" footer="0.511811023622047"/>
  <pageSetup paperSize="9" orientation="portrait" horizontalDpi="300" verticalDpi="300"/>
  <headerFooter>
    <oddHeader>&amp;C&amp;"Aptos,Regular"&amp;1 &amp;Kff0000 OFFICIAL#_x005F_x000d_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showGridLines="0" zoomScaleNormal="100" workbookViewId="0">
      <selection activeCell="A4" sqref="A4:C11"/>
    </sheetView>
  </sheetViews>
  <sheetFormatPr defaultColWidth="8.6640625" defaultRowHeight="14.4" x14ac:dyDescent="0.3"/>
  <cols>
    <col min="1" max="1" width="34" customWidth="1"/>
    <col min="2" max="2" width="16" customWidth="1"/>
    <col min="3" max="3" width="14" customWidth="1"/>
  </cols>
  <sheetData>
    <row r="1" spans="1:3" ht="17.25" customHeight="1" x14ac:dyDescent="0.3">
      <c r="A1" s="1" t="s">
        <v>101</v>
      </c>
    </row>
    <row r="4" spans="1:3" ht="14.25" customHeight="1" x14ac:dyDescent="0.3">
      <c r="A4" t="s">
        <v>102</v>
      </c>
      <c r="B4" s="22">
        <f>'Materials &amp; BOM'!K25</f>
        <v>9157.3354786849377</v>
      </c>
      <c r="C4" s="6" t="s">
        <v>103</v>
      </c>
    </row>
    <row r="5" spans="1:3" ht="14.25" customHeight="1" x14ac:dyDescent="0.3">
      <c r="A5" t="s">
        <v>102</v>
      </c>
      <c r="B5" s="23">
        <f>B4/1000</f>
        <v>9.1573354786849386</v>
      </c>
      <c r="C5" s="6" t="s">
        <v>104</v>
      </c>
    </row>
    <row r="6" spans="1:3" ht="14.25" customHeight="1" x14ac:dyDescent="0.3">
      <c r="A6" t="s">
        <v>105</v>
      </c>
      <c r="B6" s="22">
        <f>Assumptions!B23</f>
        <v>900</v>
      </c>
      <c r="C6" s="6" t="s">
        <v>4</v>
      </c>
    </row>
    <row r="8" spans="1:3" ht="14.25" customHeight="1" x14ac:dyDescent="0.3">
      <c r="A8" t="s">
        <v>106</v>
      </c>
      <c r="B8" t="str">
        <f>IF(B5&lt;=Assumptions!B27,Assumptions!A27,IF(B5&lt;=Assumptions!B28,Assumptions!A28,IF(B5&lt;=Assumptions!B29,Assumptions!A29,Assumptions!A30)))</f>
        <v>Multi-pallet/part load</v>
      </c>
    </row>
    <row r="9" spans="1:3" ht="14.25" customHeight="1" x14ac:dyDescent="0.3">
      <c r="A9" t="s">
        <v>107</v>
      </c>
      <c r="B9">
        <f>IF(B5&lt;=Assumptions!B27,Assumptions!C27,IF(B5&lt;=Assumptions!B28,Assumptions!C28,IF(B5&lt;=Assumptions!B29,Assumptions!C29,Assumptions!C30)))</f>
        <v>0.18</v>
      </c>
      <c r="C9" s="6" t="s">
        <v>40</v>
      </c>
    </row>
    <row r="11" spans="1:3" ht="14.25" customHeight="1" x14ac:dyDescent="0.3">
      <c r="A11" s="24" t="s">
        <v>108</v>
      </c>
      <c r="B11" s="25">
        <f>B5*B9*B6</f>
        <v>1483.4883475469601</v>
      </c>
      <c r="C11" s="26" t="s">
        <v>109</v>
      </c>
    </row>
    <row r="13" spans="1:3" ht="14.25" customHeight="1" x14ac:dyDescent="0.3">
      <c r="A13" s="8" t="s">
        <v>110</v>
      </c>
    </row>
    <row r="14" spans="1:3" ht="14.25" customHeight="1" x14ac:dyDescent="0.3">
      <c r="A14" s="27" t="s">
        <v>111</v>
      </c>
    </row>
    <row r="15" spans="1:3" ht="14.25" customHeight="1" x14ac:dyDescent="0.3">
      <c r="A15" s="27" t="s">
        <v>112</v>
      </c>
    </row>
    <row r="16" spans="1:3" ht="14.25" customHeight="1" x14ac:dyDescent="0.3">
      <c r="A16" s="27" t="s">
        <v>113</v>
      </c>
    </row>
    <row r="17" spans="1:1" ht="14.25" customHeight="1" x14ac:dyDescent="0.3">
      <c r="A17" s="27" t="s">
        <v>114</v>
      </c>
    </row>
    <row r="18" spans="1:1" ht="14.25" customHeight="1" x14ac:dyDescent="0.3">
      <c r="A18" s="27" t="s">
        <v>115</v>
      </c>
    </row>
  </sheetData>
  <pageMargins left="0.75" right="0.75" top="1" bottom="1" header="0.51180555555555596" footer="0.511811023622047"/>
  <pageSetup paperSize="9" orientation="portrait" horizontalDpi="300" verticalDpi="300"/>
  <headerFooter>
    <oddHeader>&amp;C&amp;"Aptos,Regular"&amp;1 &amp;Kff0000 OFFICIAL#_x005F_x000d_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9"/>
  <sheetViews>
    <sheetView showGridLines="0" tabSelected="1" zoomScaleNormal="100" workbookViewId="0">
      <selection activeCell="B8" sqref="B8"/>
    </sheetView>
  </sheetViews>
  <sheetFormatPr defaultColWidth="8.6640625" defaultRowHeight="14.4" x14ac:dyDescent="0.3"/>
  <cols>
    <col min="1" max="1" width="36" customWidth="1"/>
    <col min="2" max="2" width="16" customWidth="1"/>
    <col min="3" max="3" width="12" customWidth="1"/>
  </cols>
  <sheetData>
    <row r="1" spans="1:3" ht="17.25" customHeight="1" x14ac:dyDescent="0.3">
      <c r="A1" s="1" t="s">
        <v>116</v>
      </c>
    </row>
    <row r="2" spans="1:3" ht="14.25" customHeight="1" x14ac:dyDescent="0.3">
      <c r="A2" s="2" t="s">
        <v>117</v>
      </c>
    </row>
    <row r="4" spans="1:3" ht="14.25" customHeight="1" x14ac:dyDescent="0.3">
      <c r="A4" t="s">
        <v>118</v>
      </c>
      <c r="B4" s="22">
        <f>Assumptions!B5</f>
        <v>10</v>
      </c>
      <c r="C4" s="6" t="s">
        <v>4</v>
      </c>
    </row>
    <row r="6" spans="1:3" ht="14.25" customHeight="1" x14ac:dyDescent="0.3">
      <c r="A6" t="s">
        <v>119</v>
      </c>
      <c r="B6" s="28">
        <f>'Materials &amp; BOM'!J25</f>
        <v>32773</v>
      </c>
      <c r="C6" s="6" t="s">
        <v>109</v>
      </c>
    </row>
    <row r="7" spans="1:3" ht="14.25" customHeight="1" x14ac:dyDescent="0.3">
      <c r="A7" t="s">
        <v>120</v>
      </c>
      <c r="B7" s="28">
        <f>Freight!B11</f>
        <v>1483.4883475469601</v>
      </c>
      <c r="C7" s="6" t="s">
        <v>109</v>
      </c>
    </row>
    <row r="8" spans="1:3" ht="14.25" customHeight="1" x14ac:dyDescent="0.3">
      <c r="A8" s="24" t="s">
        <v>121</v>
      </c>
      <c r="B8" s="25">
        <f>B6+B7</f>
        <v>34256.488347546961</v>
      </c>
      <c r="C8" s="26" t="s">
        <v>109</v>
      </c>
    </row>
    <row r="10" spans="1:3" ht="14.25" customHeight="1" x14ac:dyDescent="0.3">
      <c r="A10" t="s">
        <v>122</v>
      </c>
      <c r="B10" s="28">
        <f>B8/B4</f>
        <v>3425.6488347546961</v>
      </c>
      <c r="C10" s="6" t="s">
        <v>123</v>
      </c>
    </row>
    <row r="11" spans="1:3" ht="14.25" customHeight="1" x14ac:dyDescent="0.3">
      <c r="A11" t="s">
        <v>124</v>
      </c>
      <c r="B11" s="29">
        <f>B7/B8</f>
        <v>4.3305324600009382E-2</v>
      </c>
      <c r="C11" s="6" t="s">
        <v>9</v>
      </c>
    </row>
    <row r="14" spans="1:3" ht="14.25" customHeight="1" x14ac:dyDescent="0.3">
      <c r="A14" s="8" t="s">
        <v>125</v>
      </c>
    </row>
    <row r="15" spans="1:3" ht="14.25" customHeight="1" x14ac:dyDescent="0.3">
      <c r="A15" s="30" t="s">
        <v>140</v>
      </c>
    </row>
    <row r="16" spans="1:3" ht="14.25" customHeight="1" x14ac:dyDescent="0.3">
      <c r="A16" s="30" t="s">
        <v>126</v>
      </c>
    </row>
    <row r="17" spans="1:1" ht="14.25" customHeight="1" x14ac:dyDescent="0.3">
      <c r="A17" s="30" t="s">
        <v>127</v>
      </c>
    </row>
    <row r="18" spans="1:1" ht="14.25" customHeight="1" x14ac:dyDescent="0.3">
      <c r="A18" s="30" t="s">
        <v>128</v>
      </c>
    </row>
    <row r="19" spans="1:1" ht="14.25" customHeight="1" x14ac:dyDescent="0.3">
      <c r="A19" s="30" t="s">
        <v>129</v>
      </c>
    </row>
  </sheetData>
  <pageMargins left="0.75" right="0.75" top="1" bottom="1" header="0.51180555555555596" footer="0.511811023622047"/>
  <pageSetup paperSize="9" orientation="portrait" horizontalDpi="300" verticalDpi="300"/>
  <headerFooter>
    <oddHeader>&amp;C&amp;"Aptos,Regular"&amp;1 &amp;Kff0000 OFFICIAL#_x005F_x000d_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Assumptions</vt:lpstr>
      <vt:lpstr>Materials &amp; BOM</vt:lpstr>
      <vt:lpstr>Freight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Christophe D'Abbadie</cp:lastModifiedBy>
  <cp:revision>2</cp:revision>
  <dcterms:created xsi:type="dcterms:W3CDTF">2026-07-07T01:49:46Z</dcterms:created>
  <dcterms:modified xsi:type="dcterms:W3CDTF">2026-07-16T01:27:47Z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cf83ea-a86c-44db-b904-16489f29f74e_ActionId">
    <vt:lpwstr>4a0826b4-9a58-45f1-a5d1-067fac01d0aa</vt:lpwstr>
  </property>
  <property fmtid="{D5CDD505-2E9C-101B-9397-08002B2CF9AE}" pid="3" name="MSIP_Label_8bcf83ea-a86c-44db-b904-16489f29f74e_ContentBits">
    <vt:lpwstr>1</vt:lpwstr>
  </property>
  <property fmtid="{D5CDD505-2E9C-101B-9397-08002B2CF9AE}" pid="4" name="MSIP_Label_8bcf83ea-a86c-44db-b904-16489f29f74e_Enabled">
    <vt:lpwstr>true</vt:lpwstr>
  </property>
  <property fmtid="{D5CDD505-2E9C-101B-9397-08002B2CF9AE}" pid="5" name="MSIP_Label_8bcf83ea-a86c-44db-b904-16489f29f74e_Method">
    <vt:lpwstr>Standard</vt:lpwstr>
  </property>
  <property fmtid="{D5CDD505-2E9C-101B-9397-08002B2CF9AE}" pid="6" name="MSIP_Label_8bcf83ea-a86c-44db-b904-16489f29f74e_Name">
    <vt:lpwstr>EIM Info Class OFFICIAL</vt:lpwstr>
  </property>
  <property fmtid="{D5CDD505-2E9C-101B-9397-08002B2CF9AE}" pid="7" name="MSIP_Label_8bcf83ea-a86c-44db-b904-16489f29f74e_SetDate">
    <vt:lpwstr>2026-07-07T03:50:27Z</vt:lpwstr>
  </property>
  <property fmtid="{D5CDD505-2E9C-101B-9397-08002B2CF9AE}" pid="8" name="MSIP_Label_8bcf83ea-a86c-44db-b904-16489f29f74e_SiteId">
    <vt:lpwstr>7b5e7ee6-2d23-4b9a-abaa-a0beeed2548e</vt:lpwstr>
  </property>
  <property fmtid="{D5CDD505-2E9C-101B-9397-08002B2CF9AE}" pid="9" name="MSIP_Label_8bcf83ea-a86c-44db-b904-16489f29f74e_Tag">
    <vt:lpwstr>10, 3, 0, 1</vt:lpwstr>
  </property>
</Properties>
</file>