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wagov01-my.sharepoint.com/personal/christophe_dabbadie_dpird_wa_gov_au/Documents/Documents/DPIRD/LivestockRangelandsEcoModel/Materials/"/>
    </mc:Choice>
  </mc:AlternateContent>
  <xr:revisionPtr revIDLastSave="3" documentId="13_ncr:1_{71630486-C93A-434F-9868-32507AC9BEEA}" xr6:coauthVersionLast="47" xr6:coauthVersionMax="47" xr10:uidLastSave="{614BE149-E545-4978-BD6B-A2F3C2AA58CA}"/>
  <bookViews>
    <workbookView xWindow="57480" yWindow="-120" windowWidth="29040" windowHeight="15720" tabRatio="762" activeTab="3" xr2:uid="{00000000-000D-0000-FFFF-FFFF00000000}"/>
  </bookViews>
  <sheets>
    <sheet name="Assumptions" sheetId="1" r:id="rId1"/>
    <sheet name="Materials &amp; BOM" sheetId="2" r:id="rId2"/>
    <sheet name="Freight" sheetId="3" r:id="rId3"/>
    <sheet name="Summary" sheetId="4" r:id="rId4"/>
    <sheet name="Materials &amp; BOM (JA design)" sheetId="6" r:id="rId5"/>
    <sheet name="Freight (JA design)" sheetId="7" r:id="rId6"/>
    <sheet name="Summary (JA design)" sheetId="8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6" i="7" l="1"/>
  <c r="C6" i="6"/>
  <c r="E6" i="6" s="1"/>
  <c r="D6" i="6"/>
  <c r="D5" i="6"/>
  <c r="D4" i="6"/>
  <c r="D3" i="6"/>
  <c r="D2" i="6"/>
  <c r="B25" i="6"/>
  <c r="B26" i="6" s="1"/>
  <c r="C5" i="6" s="1"/>
  <c r="F4" i="6"/>
  <c r="E4" i="6"/>
  <c r="C4" i="2"/>
  <c r="F4" i="2" s="1"/>
  <c r="C3" i="2"/>
  <c r="B6" i="3"/>
  <c r="B23" i="2"/>
  <c r="B21" i="2"/>
  <c r="B22" i="2" s="1"/>
  <c r="E6" i="2"/>
  <c r="D6" i="2"/>
  <c r="F6" i="2" s="1"/>
  <c r="C6" i="2"/>
  <c r="D5" i="2"/>
  <c r="D4" i="2"/>
  <c r="D3" i="2"/>
  <c r="D2" i="2"/>
  <c r="B4" i="4"/>
  <c r="B4" i="8" s="1"/>
  <c r="B5" i="8" l="1"/>
  <c r="F3" i="6"/>
  <c r="F6" i="6"/>
  <c r="E3" i="6"/>
  <c r="F3" i="2"/>
  <c r="E4" i="2"/>
  <c r="E3" i="2"/>
  <c r="B24" i="2"/>
  <c r="B25" i="2" s="1"/>
  <c r="C2" i="2" s="1"/>
  <c r="B5" i="4"/>
  <c r="E2" i="6" l="1"/>
  <c r="F2" i="6"/>
  <c r="F5" i="6"/>
  <c r="E5" i="6"/>
  <c r="B26" i="2"/>
  <c r="C5" i="2" s="1"/>
  <c r="F5" i="2" s="1"/>
  <c r="E2" i="2"/>
  <c r="F2" i="2"/>
  <c r="E5" i="2" l="1"/>
  <c r="F10" i="6"/>
  <c r="B4" i="7" s="1"/>
  <c r="B5" i="7" s="1"/>
  <c r="E10" i="6"/>
  <c r="B7" i="8" s="1"/>
  <c r="F10" i="2"/>
  <c r="B4" i="3" s="1"/>
  <c r="B5" i="3" s="1"/>
  <c r="B9" i="3" s="1"/>
  <c r="B11" i="3" s="1"/>
  <c r="B8" i="4" s="1"/>
  <c r="E10" i="2"/>
  <c r="B7" i="4" s="1"/>
  <c r="B9" i="7" l="1"/>
  <c r="B11" i="7" s="1"/>
  <c r="B8" i="8" s="1"/>
  <c r="B8" i="7"/>
  <c r="B8" i="3"/>
  <c r="B9" i="4"/>
  <c r="B11" i="4" s="1"/>
  <c r="B9" i="8" l="1"/>
  <c r="B11" i="8" s="1"/>
  <c r="B12" i="4"/>
  <c r="B12" i="8" l="1"/>
</calcChain>
</file>

<file path=xl/sharedStrings.xml><?xml version="1.0" encoding="utf-8"?>
<sst xmlns="http://schemas.openxmlformats.org/spreadsheetml/2006/main" count="188" uniqueCount="101">
  <si>
    <t>Station Trap Yard — Cost &amp; Freight Model</t>
  </si>
  <si>
    <t>Budget/Blackline tier — spear trap + access gate — sized from head capacity</t>
  </si>
  <si>
    <t>YARD SIZING</t>
  </si>
  <si>
    <t>Target head capacity</t>
  </si>
  <si>
    <t>head</t>
  </si>
  <si>
    <t>Midpoint of 50-100 head range you specified</t>
  </si>
  <si>
    <t>Area per head (holding density)</t>
  </si>
  <si>
    <t>m²/head</t>
  </si>
  <si>
    <t>Yard shape</t>
  </si>
  <si>
    <t>Circular</t>
  </si>
  <si>
    <t>Square/Circular</t>
  </si>
  <si>
    <t>Circular uses ~11% less panel run than square for the same area, and has no corners for cattle to jam into — change to 'Square' if you'd rather</t>
  </si>
  <si>
    <t>Panel length</t>
  </si>
  <si>
    <t>m</t>
  </si>
  <si>
    <t>Number of access gates (besides spear trap)</t>
  </si>
  <si>
    <t>gates</t>
  </si>
  <si>
    <t>Connector pins per panel/gate joint</t>
  </si>
  <si>
    <t>pins</t>
  </si>
  <si>
    <t>Corner/anchor lugs</t>
  </si>
  <si>
    <t>lugs</t>
  </si>
  <si>
    <t>Extra lug reinforcement — set to 0 if not needed for a circular yard (no true corners)</t>
  </si>
  <si>
    <t>Panel weight (2.1m Blackline)</t>
  </si>
  <si>
    <t>kg/panel</t>
  </si>
  <si>
    <t>Spear trap gate weight</t>
  </si>
  <si>
    <t>kg</t>
  </si>
  <si>
    <t>Access gate weight (2.1m Blackline)</t>
  </si>
  <si>
    <t>Pin/lug weight</t>
  </si>
  <si>
    <t>Negligible individually but included for completeness</t>
  </si>
  <si>
    <t>FREIGHT ASSUMPTIONS</t>
  </si>
  <si>
    <t>km</t>
  </si>
  <si>
    <t>Freight rate table ($/tonne-km by load size)</t>
  </si>
  <si>
    <t>Load size bracket</t>
  </si>
  <si>
    <t>Up to (t)</t>
  </si>
  <si>
    <t>$/tonne-km</t>
  </si>
  <si>
    <t>Small consignment</t>
  </si>
  <si>
    <t>Part load</t>
  </si>
  <si>
    <t>Multi-pallet/part load</t>
  </si>
  <si>
    <t>Full truckload</t>
  </si>
  <si>
    <t>Item</t>
  </si>
  <si>
    <t>Price/unit ($)</t>
  </si>
  <si>
    <t>Qty</t>
  </si>
  <si>
    <t>Wt/unit
(kg) — est.</t>
  </si>
  <si>
    <t>Material
cost ($)</t>
  </si>
  <si>
    <t>Total
weight (kg)</t>
  </si>
  <si>
    <t>Source/notes</t>
  </si>
  <si>
    <t>Perimeter panel (Budget Blackline 2.1m)</t>
  </si>
  <si>
    <t>Spear trap gate (one-way entry)</t>
  </si>
  <si>
    <t>Access gate (Budget Blackline 2.1m)</t>
  </si>
  <si>
    <t>Connector pins (216mm)</t>
  </si>
  <si>
    <t>Note: no loading ramp, crush, forcing yard/laneway, or cattle grid included — this is the trap enclosure only. Add a crush/ramp line from the Brazzen price list if the trap needs to double as a working yard.</t>
  </si>
  <si>
    <t>TOTAL</t>
  </si>
  <si>
    <t>WORKING (perimeter &amp; quantities)</t>
  </si>
  <si>
    <t>Yard area needed (m²)</t>
  </si>
  <si>
    <t>Perimeter required (m)</t>
  </si>
  <si>
    <t>Perimeter run taken by gates (m)</t>
  </si>
  <si>
    <t>Remaining perimeter for panels (m)</t>
  </si>
  <si>
    <t>Panels needed</t>
  </si>
  <si>
    <t>Total joints (panels + gates around perimeter)</t>
  </si>
  <si>
    <t>Freight Cost — Supplier to Station</t>
  </si>
  <si>
    <t>Total material weight</t>
  </si>
  <si>
    <t>tonnes</t>
  </si>
  <si>
    <t>Distance: supplier to station</t>
  </si>
  <si>
    <t>Applicable rate band</t>
  </si>
  <si>
    <t>Rate</t>
  </si>
  <si>
    <t>FREIGHT COST (supplier → station)</t>
  </si>
  <si>
    <t>$</t>
  </si>
  <si>
    <t>Notes</t>
  </si>
  <si>
    <t>Rate bands are indicative regional WA road freight benchmarks, not a quoted rate.</t>
  </si>
  <si>
    <t>Panels/gates are bulky (low density, awkward to stack) — a real quote may run higher per tonne</t>
  </si>
  <si>
    <t>direct — many rural steelwork suppliers run their own truck to stations and this can beat a</t>
  </si>
  <si>
    <t>standalone freight booking.</t>
  </si>
  <si>
    <t>Station Trap Yard — Cost Summary</t>
  </si>
  <si>
    <t>Yard perimeter</t>
  </si>
  <si>
    <t>Materials cost</t>
  </si>
  <si>
    <t>Freight cost (supplier → station)</t>
  </si>
  <si>
    <t>GRAND TOTAL</t>
  </si>
  <si>
    <t>Cost per head of capacity</t>
  </si>
  <si>
    <t>$/head</t>
  </si>
  <si>
    <t>Freight as % of total</t>
  </si>
  <si>
    <t>%</t>
  </si>
  <si>
    <t>Key assumptions to confirm before relying on this total:</t>
  </si>
  <si>
    <t>• No loading ramp, crush, forcing yard/laneway, or cattle grid included — trap enclosure only</t>
  </si>
  <si>
    <t>• Yard treated as a simple circle/square for panel-run purposes — real terrain/water points may need an irregular shape</t>
  </si>
  <si>
    <t>• Installation/labour (post-driving, assembly) not costed — materials only</t>
  </si>
  <si>
    <t>CONFIRM PRICE</t>
  </si>
  <si>
    <t>Typical loose-holding yard density (1.5-2.0 m²/head), tighten for a true 'trap' where cattle are only held briefly</t>
  </si>
  <si>
    <t>Distance to station</t>
  </si>
  <si>
    <t>EDITABLE — set to your actual road distance</t>
  </si>
  <si>
    <t>PANEL &amp; GATE SPEC</t>
  </si>
  <si>
    <t>WEIGHT ASSUMPTIONS (for freight — estimates)</t>
  </si>
  <si>
    <t>Panel 2.1m</t>
  </si>
  <si>
    <t>Number of spear trap</t>
  </si>
  <si>
    <t>spear trap</t>
  </si>
  <si>
    <t>ESTIMATE</t>
  </si>
  <si>
    <t>Secures each panel-to-panel and panel-to-gate join</t>
  </si>
  <si>
    <t>than a dense load of the same weight. Ask suppliers whether they deliver</t>
  </si>
  <si>
    <t>Budget tier — materials + freight to station</t>
  </si>
  <si>
    <t>• Panel/gate weights are estimates  — confirm before trusting the freight figure</t>
  </si>
  <si>
    <t>• Actual freight quote — model uses benchmark regional rates, not a real quote from a carrier</t>
  </si>
  <si>
    <t>See Trayard Factsheet</t>
  </si>
  <si>
    <t>https://library.dpird.wa.gov.au/cgi/viewcontent.cgi?article=1046&amp;context=ap_factsheets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</si>
</sst>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.00;&quot;($&quot;#,##0.00\);\-"/>
    <numFmt numFmtId="165" formatCode="#,##0.0"/>
    <numFmt numFmtId="166" formatCode="\$#,##0;&quot;($&quot;#,##0\);\-"/>
    <numFmt numFmtId="167" formatCode="0.0%"/>
  </numFmts>
  <fonts count="12" x14ac:knownFonts="1">
    <font>
      <sz val="11"/>
      <color theme="1"/>
      <name val="Calibri"/>
      <family val="2"/>
      <charset val="1"/>
    </font>
    <font>
      <b/>
      <sz val="14"/>
      <name val="Arial"/>
      <charset val="1"/>
    </font>
    <font>
      <i/>
      <sz val="11"/>
      <color rgb="FF595959"/>
      <name val="Arial"/>
      <charset val="1"/>
    </font>
    <font>
      <b/>
      <sz val="11"/>
      <name val="Arial"/>
      <charset val="1"/>
    </font>
    <font>
      <sz val="11"/>
      <color rgb="FF0000FF"/>
      <name val="Arial"/>
      <charset val="1"/>
    </font>
    <font>
      <i/>
      <sz val="11"/>
      <color rgb="FF808080"/>
      <name val="Arial"/>
      <charset val="1"/>
    </font>
    <font>
      <i/>
      <sz val="9"/>
      <color rgb="FF808080"/>
      <name val="Arial"/>
      <charset val="1"/>
    </font>
    <font>
      <b/>
      <sz val="11"/>
      <color rgb="FFFFFFFF"/>
      <name val="Arial"/>
      <charset val="1"/>
    </font>
    <font>
      <b/>
      <i/>
      <sz val="9"/>
      <color rgb="FF9C6500"/>
      <name val="Arial"/>
      <charset val="1"/>
    </font>
    <font>
      <i/>
      <sz val="9"/>
      <color rgb="FF9C6500"/>
      <name val="Arial"/>
      <charset val="1"/>
    </font>
    <font>
      <i/>
      <sz val="9"/>
      <color rgb="FF595959"/>
      <name val="Arial"/>
      <charset val="1"/>
    </font>
    <font>
      <sz val="9"/>
      <color rgb="FF9C65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E2EFDA"/>
      </patternFill>
    </fill>
    <fill>
      <patternFill patternType="solid">
        <fgColor rgb="FF1F4E78"/>
        <bgColor rgb="FF003366"/>
      </patternFill>
    </fill>
    <fill>
      <patternFill patternType="solid">
        <fgColor rgb="FFE2EFDA"/>
        <bgColor rgb="FFF2F2F2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4" fillId="0" borderId="1" xfId="0" applyNumberFormat="1" applyFont="1" applyBorder="1"/>
    <xf numFmtId="3" fontId="0" fillId="0" borderId="1" xfId="0" applyNumberFormat="1" applyBorder="1"/>
    <xf numFmtId="165" fontId="0" fillId="0" borderId="1" xfId="0" applyNumberFormat="1" applyBorder="1"/>
    <xf numFmtId="164" fontId="0" fillId="0" borderId="1" xfId="0" applyNumberFormat="1" applyBorder="1"/>
    <xf numFmtId="0" fontId="8" fillId="0" borderId="1" xfId="0" applyFont="1" applyBorder="1"/>
    <xf numFmtId="0" fontId="9" fillId="0" borderId="0" xfId="0" applyFont="1"/>
    <xf numFmtId="0" fontId="3" fillId="2" borderId="1" xfId="0" applyFont="1" applyFill="1" applyBorder="1"/>
    <xf numFmtId="164" fontId="3" fillId="2" borderId="1" xfId="0" applyNumberFormat="1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165" fontId="0" fillId="0" borderId="0" xfId="0" applyNumberFormat="1"/>
    <xf numFmtId="0" fontId="3" fillId="4" borderId="0" xfId="0" applyFont="1" applyFill="1"/>
    <xf numFmtId="166" fontId="3" fillId="4" borderId="0" xfId="0" applyNumberFormat="1" applyFont="1" applyFill="1"/>
    <xf numFmtId="0" fontId="5" fillId="4" borderId="0" xfId="0" applyFont="1" applyFill="1"/>
    <xf numFmtId="0" fontId="10" fillId="0" borderId="0" xfId="0" applyFont="1"/>
    <xf numFmtId="166" fontId="0" fillId="0" borderId="0" xfId="0" applyNumberFormat="1"/>
    <xf numFmtId="167" fontId="0" fillId="0" borderId="0" xfId="0" applyNumberFormat="1"/>
    <xf numFmtId="0" fontId="11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1</xdr:row>
      <xdr:rowOff>85725</xdr:rowOff>
    </xdr:from>
    <xdr:to>
      <xdr:col>12</xdr:col>
      <xdr:colOff>307071</xdr:colOff>
      <xdr:row>22</xdr:row>
      <xdr:rowOff>38622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9E6BC7-C5EE-C809-823F-BA78725E0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77575" y="514350"/>
          <a:ext cx="2612121" cy="37533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library.dpird.wa.gov.au/cgi/viewcontent.cgi?article=1046&amp;context=ap_factshe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showGridLines="0" zoomScaleNormal="100" workbookViewId="0">
      <selection activeCell="B23" sqref="B23"/>
    </sheetView>
  </sheetViews>
  <sheetFormatPr defaultColWidth="8.6640625" defaultRowHeight="14.4" x14ac:dyDescent="0.3"/>
  <cols>
    <col min="1" max="1" width="42" customWidth="1"/>
    <col min="2" max="3" width="12" customWidth="1"/>
    <col min="4" max="4" width="78" customWidth="1"/>
  </cols>
  <sheetData>
    <row r="1" spans="1:4" ht="17.399999999999999" x14ac:dyDescent="0.3">
      <c r="A1" s="1" t="s">
        <v>0</v>
      </c>
    </row>
    <row r="2" spans="1:4" x14ac:dyDescent="0.3">
      <c r="A2" s="2" t="s">
        <v>1</v>
      </c>
    </row>
    <row r="4" spans="1:4" x14ac:dyDescent="0.3">
      <c r="A4" s="3" t="s">
        <v>2</v>
      </c>
      <c r="B4" s="4"/>
      <c r="C4" s="4"/>
      <c r="D4" s="4"/>
    </row>
    <row r="5" spans="1:4" x14ac:dyDescent="0.3">
      <c r="A5" t="s">
        <v>3</v>
      </c>
      <c r="B5" s="29">
        <v>50</v>
      </c>
      <c r="C5" s="6" t="s">
        <v>4</v>
      </c>
      <c r="D5" s="7" t="s">
        <v>5</v>
      </c>
    </row>
    <row r="6" spans="1:4" x14ac:dyDescent="0.3">
      <c r="A6" t="s">
        <v>6</v>
      </c>
      <c r="B6" s="29">
        <v>1.75</v>
      </c>
      <c r="C6" s="6" t="s">
        <v>7</v>
      </c>
      <c r="D6" s="7" t="s">
        <v>85</v>
      </c>
    </row>
    <row r="7" spans="1:4" x14ac:dyDescent="0.3">
      <c r="A7" t="s">
        <v>8</v>
      </c>
      <c r="B7" s="29" t="s">
        <v>9</v>
      </c>
      <c r="C7" s="6" t="s">
        <v>10</v>
      </c>
      <c r="D7" s="7" t="s">
        <v>11</v>
      </c>
    </row>
    <row r="9" spans="1:4" x14ac:dyDescent="0.3">
      <c r="A9" s="3" t="s">
        <v>88</v>
      </c>
      <c r="B9" s="4"/>
      <c r="C9" s="4"/>
      <c r="D9" s="4"/>
    </row>
    <row r="10" spans="1:4" x14ac:dyDescent="0.3">
      <c r="A10" t="s">
        <v>12</v>
      </c>
      <c r="B10" s="5">
        <v>2.1</v>
      </c>
      <c r="C10" s="6" t="s">
        <v>13</v>
      </c>
      <c r="D10" s="7" t="s">
        <v>90</v>
      </c>
    </row>
    <row r="11" spans="1:4" x14ac:dyDescent="0.3">
      <c r="A11" t="s">
        <v>91</v>
      </c>
      <c r="B11" s="5">
        <v>2</v>
      </c>
      <c r="C11" s="6" t="s">
        <v>92</v>
      </c>
      <c r="D11" s="7" t="s">
        <v>93</v>
      </c>
    </row>
    <row r="12" spans="1:4" x14ac:dyDescent="0.3">
      <c r="A12" t="s">
        <v>14</v>
      </c>
      <c r="B12" s="5">
        <v>2</v>
      </c>
      <c r="C12" s="6" t="s">
        <v>15</v>
      </c>
      <c r="D12" s="7" t="s">
        <v>93</v>
      </c>
    </row>
    <row r="13" spans="1:4" x14ac:dyDescent="0.3">
      <c r="A13" t="s">
        <v>16</v>
      </c>
      <c r="B13" s="5">
        <v>2</v>
      </c>
      <c r="C13" s="6" t="s">
        <v>17</v>
      </c>
      <c r="D13" s="7" t="s">
        <v>94</v>
      </c>
    </row>
    <row r="14" spans="1:4" x14ac:dyDescent="0.3">
      <c r="A14" t="s">
        <v>18</v>
      </c>
      <c r="B14" s="5">
        <v>4</v>
      </c>
      <c r="C14" s="6" t="s">
        <v>19</v>
      </c>
      <c r="D14" s="7" t="s">
        <v>20</v>
      </c>
    </row>
    <row r="16" spans="1:4" x14ac:dyDescent="0.3">
      <c r="A16" s="3" t="s">
        <v>89</v>
      </c>
      <c r="B16" s="4"/>
      <c r="C16" s="4"/>
      <c r="D16" s="4"/>
    </row>
    <row r="17" spans="1:4" x14ac:dyDescent="0.3">
      <c r="A17" t="s">
        <v>21</v>
      </c>
      <c r="B17" s="5">
        <v>38</v>
      </c>
      <c r="C17" s="6" t="s">
        <v>22</v>
      </c>
      <c r="D17" s="7" t="s">
        <v>93</v>
      </c>
    </row>
    <row r="18" spans="1:4" x14ac:dyDescent="0.3">
      <c r="A18" t="s">
        <v>23</v>
      </c>
      <c r="B18" s="5">
        <v>110</v>
      </c>
      <c r="C18" s="6" t="s">
        <v>24</v>
      </c>
      <c r="D18" s="7" t="s">
        <v>93</v>
      </c>
    </row>
    <row r="19" spans="1:4" x14ac:dyDescent="0.3">
      <c r="A19" t="s">
        <v>25</v>
      </c>
      <c r="B19" s="5">
        <v>45</v>
      </c>
      <c r="C19" s="6" t="s">
        <v>24</v>
      </c>
      <c r="D19" s="7" t="s">
        <v>93</v>
      </c>
    </row>
    <row r="20" spans="1:4" x14ac:dyDescent="0.3">
      <c r="A20" t="s">
        <v>26</v>
      </c>
      <c r="B20" s="5">
        <v>0.1</v>
      </c>
      <c r="C20" s="6" t="s">
        <v>24</v>
      </c>
      <c r="D20" s="7" t="s">
        <v>27</v>
      </c>
    </row>
    <row r="22" spans="1:4" x14ac:dyDescent="0.3">
      <c r="A22" s="3" t="s">
        <v>28</v>
      </c>
      <c r="B22" s="4"/>
      <c r="C22" s="4"/>
      <c r="D22" s="4"/>
    </row>
    <row r="23" spans="1:4" x14ac:dyDescent="0.3">
      <c r="A23" t="s">
        <v>86</v>
      </c>
      <c r="B23" s="5">
        <v>900</v>
      </c>
      <c r="C23" s="6" t="s">
        <v>29</v>
      </c>
      <c r="D23" s="7" t="s">
        <v>87</v>
      </c>
    </row>
    <row r="25" spans="1:4" x14ac:dyDescent="0.3">
      <c r="A25" s="3" t="s">
        <v>30</v>
      </c>
      <c r="B25" s="4"/>
      <c r="C25" s="4"/>
      <c r="D25" s="4"/>
    </row>
    <row r="26" spans="1:4" x14ac:dyDescent="0.3">
      <c r="A26" s="8" t="s">
        <v>31</v>
      </c>
      <c r="B26" s="8" t="s">
        <v>32</v>
      </c>
      <c r="C26" s="8" t="s">
        <v>33</v>
      </c>
    </row>
    <row r="27" spans="1:4" x14ac:dyDescent="0.3">
      <c r="A27" t="s">
        <v>34</v>
      </c>
      <c r="B27" s="5">
        <v>1</v>
      </c>
      <c r="C27" s="5">
        <v>0.55000000000000004</v>
      </c>
    </row>
    <row r="28" spans="1:4" x14ac:dyDescent="0.3">
      <c r="A28" t="s">
        <v>35</v>
      </c>
      <c r="B28" s="5">
        <v>5</v>
      </c>
      <c r="C28" s="5">
        <v>0.3</v>
      </c>
    </row>
    <row r="29" spans="1:4" x14ac:dyDescent="0.3">
      <c r="A29" t="s">
        <v>36</v>
      </c>
      <c r="B29" s="5">
        <v>20</v>
      </c>
      <c r="C29" s="5">
        <v>0.18</v>
      </c>
    </row>
    <row r="30" spans="1:4" x14ac:dyDescent="0.3">
      <c r="A30" t="s">
        <v>37</v>
      </c>
      <c r="B30" s="5">
        <v>9999</v>
      </c>
      <c r="C30" s="5">
        <v>0.14000000000000001</v>
      </c>
    </row>
  </sheetData>
  <dataValidations count="1">
    <dataValidation type="list" allowBlank="1" showInputMessage="1" showErrorMessage="1" sqref="B7" xr:uid="{F4975AB6-5FF7-4BEB-9581-11957B8D77BD}">
      <formula1>"Circular,Square"</formula1>
    </dataValidation>
  </dataValidations>
  <pageMargins left="0.75" right="0.75" top="1" bottom="1" header="0.511811023622047" footer="0.511811023622047"/>
  <pageSetup paperSize="9" orientation="portrait" horizontalDpi="300" verticalDpi="300"/>
  <headerFooter>
    <oddHeader>&amp;C&amp;"Aptos"&amp;12&amp;KFF0000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showGridLines="0" zoomScaleNormal="100" workbookViewId="0">
      <selection activeCell="A5" sqref="A5"/>
    </sheetView>
  </sheetViews>
  <sheetFormatPr defaultColWidth="8.6640625" defaultRowHeight="14.4" x14ac:dyDescent="0.3"/>
  <cols>
    <col min="1" max="1" width="34" customWidth="1"/>
    <col min="2" max="2" width="12" customWidth="1"/>
    <col min="3" max="3" width="8" customWidth="1"/>
    <col min="4" max="4" width="12" customWidth="1"/>
    <col min="5" max="6" width="13" customWidth="1"/>
    <col min="7" max="7" width="60" customWidth="1"/>
  </cols>
  <sheetData>
    <row r="1" spans="1:7" ht="33.75" customHeight="1" x14ac:dyDescent="0.3">
      <c r="A1" s="9" t="s">
        <v>38</v>
      </c>
      <c r="B1" s="9" t="s">
        <v>39</v>
      </c>
      <c r="C1" s="9" t="s">
        <v>40</v>
      </c>
      <c r="D1" s="9" t="s">
        <v>41</v>
      </c>
      <c r="E1" s="9" t="s">
        <v>42</v>
      </c>
      <c r="F1" s="9" t="s">
        <v>43</v>
      </c>
      <c r="G1" s="9" t="s">
        <v>44</v>
      </c>
    </row>
    <row r="2" spans="1:7" x14ac:dyDescent="0.3">
      <c r="A2" s="10" t="s">
        <v>45</v>
      </c>
      <c r="B2" s="11">
        <v>100</v>
      </c>
      <c r="C2" s="12">
        <f>B25</f>
        <v>13</v>
      </c>
      <c r="D2" s="13">
        <f>Assumptions!$B$17</f>
        <v>38</v>
      </c>
      <c r="E2" s="14">
        <f>C2*B2</f>
        <v>1300</v>
      </c>
      <c r="F2" s="12">
        <f>C2*D2</f>
        <v>494</v>
      </c>
      <c r="G2" s="15" t="s">
        <v>84</v>
      </c>
    </row>
    <row r="3" spans="1:7" x14ac:dyDescent="0.3">
      <c r="A3" s="10" t="s">
        <v>46</v>
      </c>
      <c r="B3" s="11">
        <v>1020</v>
      </c>
      <c r="C3" s="12">
        <f>Assumptions!$B$11</f>
        <v>2</v>
      </c>
      <c r="D3" s="13">
        <f>Assumptions!$B$18</f>
        <v>110</v>
      </c>
      <c r="E3" s="14">
        <f>C3*B3</f>
        <v>2040</v>
      </c>
      <c r="F3" s="12">
        <f>C3*D3</f>
        <v>220</v>
      </c>
      <c r="G3" s="15" t="s">
        <v>84</v>
      </c>
    </row>
    <row r="4" spans="1:7" x14ac:dyDescent="0.3">
      <c r="A4" s="10" t="s">
        <v>47</v>
      </c>
      <c r="B4" s="11">
        <v>215</v>
      </c>
      <c r="C4" s="12">
        <f>Assumptions!$B$12</f>
        <v>2</v>
      </c>
      <c r="D4" s="13">
        <f>Assumptions!$B$19</f>
        <v>45</v>
      </c>
      <c r="E4" s="14">
        <f>C4*B4</f>
        <v>430</v>
      </c>
      <c r="F4" s="12">
        <f>C4*D4</f>
        <v>90</v>
      </c>
      <c r="G4" s="15" t="s">
        <v>84</v>
      </c>
    </row>
    <row r="5" spans="1:7" x14ac:dyDescent="0.3">
      <c r="A5" s="10" t="s">
        <v>48</v>
      </c>
      <c r="B5" s="11">
        <v>3</v>
      </c>
      <c r="C5" s="12">
        <f>B26*Assumptions!$B$13</f>
        <v>32</v>
      </c>
      <c r="D5" s="13">
        <f>Assumptions!$B$20</f>
        <v>0.1</v>
      </c>
      <c r="E5" s="14">
        <f>C5*B5</f>
        <v>96</v>
      </c>
      <c r="F5" s="12">
        <f>C5*D5</f>
        <v>3.2</v>
      </c>
      <c r="G5" s="15" t="s">
        <v>84</v>
      </c>
    </row>
    <row r="6" spans="1:7" x14ac:dyDescent="0.3">
      <c r="A6" s="10" t="s">
        <v>18</v>
      </c>
      <c r="B6" s="11">
        <v>8</v>
      </c>
      <c r="C6" s="12">
        <f>Assumptions!$B$14</f>
        <v>4</v>
      </c>
      <c r="D6" s="13">
        <f>Assumptions!$B$20</f>
        <v>0.1</v>
      </c>
      <c r="E6" s="14">
        <f>C6*B6</f>
        <v>32</v>
      </c>
      <c r="F6" s="12">
        <f>C6*D6</f>
        <v>0.4</v>
      </c>
      <c r="G6" s="15" t="s">
        <v>84</v>
      </c>
    </row>
    <row r="8" spans="1:7" x14ac:dyDescent="0.3">
      <c r="A8" s="16" t="s">
        <v>49</v>
      </c>
    </row>
    <row r="10" spans="1:7" x14ac:dyDescent="0.3">
      <c r="A10" s="17" t="s">
        <v>50</v>
      </c>
      <c r="B10" s="10"/>
      <c r="C10" s="10"/>
      <c r="D10" s="10"/>
      <c r="E10" s="18">
        <f>SUM(E2:E6)</f>
        <v>3898</v>
      </c>
      <c r="F10" s="19">
        <f>SUM(F2:F6)</f>
        <v>807.6</v>
      </c>
      <c r="G10" s="10"/>
    </row>
    <row r="20" spans="1:7" x14ac:dyDescent="0.3">
      <c r="A20" s="3" t="s">
        <v>51</v>
      </c>
      <c r="B20" s="4"/>
      <c r="C20" s="4"/>
      <c r="D20" s="4"/>
      <c r="E20" s="4"/>
      <c r="F20" s="4"/>
      <c r="G20" s="4"/>
    </row>
    <row r="21" spans="1:7" x14ac:dyDescent="0.3">
      <c r="A21" t="s">
        <v>52</v>
      </c>
      <c r="B21" s="20">
        <f>Assumptions!$B$5*Assumptions!$B$6</f>
        <v>87.5</v>
      </c>
    </row>
    <row r="22" spans="1:7" x14ac:dyDescent="0.3">
      <c r="A22" t="s">
        <v>53</v>
      </c>
      <c r="B22" s="21">
        <f>IF(Assumptions!$B$7="Circular",2*SQRT(PI()*B21),4*SQRT(B21))</f>
        <v>33.15957521978271</v>
      </c>
    </row>
    <row r="23" spans="1:7" x14ac:dyDescent="0.3">
      <c r="A23" t="s">
        <v>54</v>
      </c>
      <c r="B23" s="21">
        <f>(1+Assumptions!$B$12)*Assumptions!$B$10</f>
        <v>6.3000000000000007</v>
      </c>
    </row>
    <row r="24" spans="1:7" x14ac:dyDescent="0.3">
      <c r="A24" t="s">
        <v>55</v>
      </c>
      <c r="B24" s="21">
        <f>MAX(B22-B23,0)</f>
        <v>26.859575219782709</v>
      </c>
    </row>
    <row r="25" spans="1:7" x14ac:dyDescent="0.3">
      <c r="A25" t="s">
        <v>56</v>
      </c>
      <c r="B25" s="20">
        <f>ROUNDUP(B24/Assumptions!$B$10,0)</f>
        <v>13</v>
      </c>
    </row>
    <row r="26" spans="1:7" x14ac:dyDescent="0.3">
      <c r="A26" t="s">
        <v>57</v>
      </c>
      <c r="B26" s="20">
        <f>B25+1+Assumptions!$B$12</f>
        <v>16</v>
      </c>
    </row>
  </sheetData>
  <pageMargins left="0.75" right="0.75" top="1" bottom="1" header="0.511811023622047" footer="0.511811023622047"/>
  <pageSetup paperSize="9" orientation="portrait" horizontalDpi="300" verticalDpi="300"/>
  <headerFooter>
    <oddHeader>&amp;C&amp;"Aptos"&amp;12&amp;KFF0000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8"/>
  <sheetViews>
    <sheetView showGridLines="0" zoomScaleNormal="100" workbookViewId="0">
      <selection activeCell="B9" sqref="B8:B9"/>
    </sheetView>
  </sheetViews>
  <sheetFormatPr defaultColWidth="8.6640625" defaultRowHeight="14.4" x14ac:dyDescent="0.3"/>
  <cols>
    <col min="1" max="1" width="34" customWidth="1"/>
    <col min="2" max="2" width="16" customWidth="1"/>
    <col min="3" max="3" width="14" customWidth="1"/>
  </cols>
  <sheetData>
    <row r="1" spans="1:3" ht="17.399999999999999" x14ac:dyDescent="0.3">
      <c r="A1" s="1" t="s">
        <v>58</v>
      </c>
    </row>
    <row r="4" spans="1:3" x14ac:dyDescent="0.3">
      <c r="A4" t="s">
        <v>59</v>
      </c>
      <c r="B4" s="20">
        <f>'Materials &amp; BOM'!F10</f>
        <v>807.6</v>
      </c>
      <c r="C4" s="6" t="s">
        <v>24</v>
      </c>
    </row>
    <row r="5" spans="1:3" x14ac:dyDescent="0.3">
      <c r="A5" t="s">
        <v>59</v>
      </c>
      <c r="B5" s="21">
        <f>B4/1000</f>
        <v>0.80759999999999998</v>
      </c>
      <c r="C5" s="6" t="s">
        <v>60</v>
      </c>
    </row>
    <row r="6" spans="1:3" x14ac:dyDescent="0.3">
      <c r="A6" t="s">
        <v>61</v>
      </c>
      <c r="B6" s="20">
        <f>Assumptions!B23</f>
        <v>900</v>
      </c>
      <c r="C6" s="6" t="s">
        <v>29</v>
      </c>
    </row>
    <row r="8" spans="1:3" x14ac:dyDescent="0.3">
      <c r="A8" t="s">
        <v>62</v>
      </c>
      <c r="B8" t="str">
        <f>IF(B5&lt;=Assumptions!B27,Assumptions!A27,IF(B5&lt;=Assumptions!B28,Assumptions!A28,IF(B5&lt;=Assumptions!B29,Assumptions!A29,Assumptions!A30)))</f>
        <v>Small consignment</v>
      </c>
    </row>
    <row r="9" spans="1:3" x14ac:dyDescent="0.3">
      <c r="A9" t="s">
        <v>63</v>
      </c>
      <c r="B9">
        <f>IF(B5&lt;=Assumptions!B27,Assumptions!C27,IF(B5&lt;=Assumptions!B28,Assumptions!C28,IF(B5&lt;=Assumptions!B29,Assumptions!C29,Assumptions!C30)))</f>
        <v>0.55000000000000004</v>
      </c>
      <c r="C9" s="6" t="s">
        <v>33</v>
      </c>
    </row>
    <row r="11" spans="1:3" x14ac:dyDescent="0.3">
      <c r="A11" s="22" t="s">
        <v>64</v>
      </c>
      <c r="B11" s="23">
        <f>B5*B9*B6</f>
        <v>399.762</v>
      </c>
      <c r="C11" s="24" t="s">
        <v>65</v>
      </c>
    </row>
    <row r="13" spans="1:3" x14ac:dyDescent="0.3">
      <c r="A13" s="8" t="s">
        <v>66</v>
      </c>
    </row>
    <row r="14" spans="1:3" x14ac:dyDescent="0.3">
      <c r="A14" s="25" t="s">
        <v>67</v>
      </c>
    </row>
    <row r="15" spans="1:3" x14ac:dyDescent="0.3">
      <c r="A15" s="25" t="s">
        <v>68</v>
      </c>
    </row>
    <row r="16" spans="1:3" x14ac:dyDescent="0.3">
      <c r="A16" s="25" t="s">
        <v>95</v>
      </c>
    </row>
    <row r="17" spans="1:1" x14ac:dyDescent="0.3">
      <c r="A17" s="25" t="s">
        <v>69</v>
      </c>
    </row>
    <row r="18" spans="1:1" x14ac:dyDescent="0.3">
      <c r="A18" s="25" t="s">
        <v>70</v>
      </c>
    </row>
  </sheetData>
  <pageMargins left="0.75" right="0.75" top="1" bottom="1" header="0.511811023622047" footer="0.511811023622047"/>
  <pageSetup paperSize="9" orientation="portrait" horizontalDpi="300" verticalDpi="300"/>
  <headerFooter>
    <oddHeader>&amp;C&amp;"Aptos"&amp;12&amp;KFF0000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0"/>
  <sheetViews>
    <sheetView showGridLines="0" tabSelected="1" zoomScaleNormal="100" workbookViewId="0">
      <selection activeCell="B9" sqref="B9"/>
    </sheetView>
  </sheetViews>
  <sheetFormatPr defaultColWidth="8.6640625" defaultRowHeight="14.4" x14ac:dyDescent="0.3"/>
  <cols>
    <col min="1" max="1" width="36" customWidth="1"/>
    <col min="2" max="2" width="16" customWidth="1"/>
    <col min="3" max="3" width="12" customWidth="1"/>
  </cols>
  <sheetData>
    <row r="1" spans="1:3" ht="17.399999999999999" x14ac:dyDescent="0.3">
      <c r="A1" s="1" t="s">
        <v>71</v>
      </c>
    </row>
    <row r="2" spans="1:3" x14ac:dyDescent="0.3">
      <c r="A2" s="2" t="s">
        <v>96</v>
      </c>
    </row>
    <row r="4" spans="1:3" x14ac:dyDescent="0.3">
      <c r="A4" t="s">
        <v>3</v>
      </c>
      <c r="B4" s="20">
        <f>Assumptions!B5</f>
        <v>50</v>
      </c>
      <c r="C4" s="6" t="s">
        <v>4</v>
      </c>
    </row>
    <row r="5" spans="1:3" x14ac:dyDescent="0.3">
      <c r="A5" t="s">
        <v>72</v>
      </c>
      <c r="B5" s="21">
        <f>'Materials &amp; BOM'!B22</f>
        <v>33.15957521978271</v>
      </c>
      <c r="C5" s="6" t="s">
        <v>13</v>
      </c>
    </row>
    <row r="7" spans="1:3" x14ac:dyDescent="0.3">
      <c r="A7" t="s">
        <v>73</v>
      </c>
      <c r="B7" s="26">
        <f>'Materials &amp; BOM'!E10</f>
        <v>3898</v>
      </c>
      <c r="C7" s="6" t="s">
        <v>65</v>
      </c>
    </row>
    <row r="8" spans="1:3" x14ac:dyDescent="0.3">
      <c r="A8" t="s">
        <v>74</v>
      </c>
      <c r="B8" s="26">
        <f>Freight!B11</f>
        <v>399.762</v>
      </c>
      <c r="C8" s="6" t="s">
        <v>65</v>
      </c>
    </row>
    <row r="9" spans="1:3" x14ac:dyDescent="0.3">
      <c r="A9" s="22" t="s">
        <v>75</v>
      </c>
      <c r="B9" s="23">
        <f>B7+B8</f>
        <v>4297.7619999999997</v>
      </c>
      <c r="C9" s="24" t="s">
        <v>65</v>
      </c>
    </row>
    <row r="11" spans="1:3" x14ac:dyDescent="0.3">
      <c r="A11" t="s">
        <v>76</v>
      </c>
      <c r="B11" s="26">
        <f>B9/B4</f>
        <v>85.955239999999989</v>
      </c>
      <c r="C11" s="6" t="s">
        <v>77</v>
      </c>
    </row>
    <row r="12" spans="1:3" x14ac:dyDescent="0.3">
      <c r="A12" t="s">
        <v>78</v>
      </c>
      <c r="B12" s="27">
        <f>B8/B9</f>
        <v>9.3016318725885713E-2</v>
      </c>
      <c r="C12" s="6" t="s">
        <v>79</v>
      </c>
    </row>
    <row r="15" spans="1:3" x14ac:dyDescent="0.3">
      <c r="A15" s="8" t="s">
        <v>80</v>
      </c>
    </row>
    <row r="16" spans="1:3" x14ac:dyDescent="0.3">
      <c r="A16" s="28" t="s">
        <v>97</v>
      </c>
    </row>
    <row r="17" spans="1:1" x14ac:dyDescent="0.3">
      <c r="A17" s="28" t="s">
        <v>81</v>
      </c>
    </row>
    <row r="18" spans="1:1" x14ac:dyDescent="0.3">
      <c r="A18" s="28" t="s">
        <v>82</v>
      </c>
    </row>
    <row r="19" spans="1:1" x14ac:dyDescent="0.3">
      <c r="A19" s="28" t="s">
        <v>98</v>
      </c>
    </row>
    <row r="20" spans="1:1" x14ac:dyDescent="0.3">
      <c r="A20" s="28" t="s">
        <v>83</v>
      </c>
    </row>
  </sheetData>
  <pageMargins left="0.75" right="0.75" top="1" bottom="1" header="0.511811023622047" footer="0.511811023622047"/>
  <pageSetup paperSize="9" orientation="portrait" horizontalDpi="300" verticalDpi="300"/>
  <headerFooter>
    <oddHeader>&amp;C&amp;"Aptos"&amp;12&amp;KFF0000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6448-BF1A-4A26-AEFE-88E43980F188}">
  <dimension ref="A1:L26"/>
  <sheetViews>
    <sheetView showGridLines="0" zoomScaleNormal="100" workbookViewId="0">
      <selection activeCell="C3" sqref="C3"/>
    </sheetView>
  </sheetViews>
  <sheetFormatPr defaultColWidth="8.6640625" defaultRowHeight="14.4" x14ac:dyDescent="0.3"/>
  <cols>
    <col min="1" max="1" width="34" customWidth="1"/>
    <col min="2" max="2" width="12" customWidth="1"/>
    <col min="3" max="3" width="8" customWidth="1"/>
    <col min="4" max="4" width="12" customWidth="1"/>
    <col min="5" max="6" width="13" customWidth="1"/>
    <col min="7" max="7" width="60" customWidth="1"/>
  </cols>
  <sheetData>
    <row r="1" spans="1:12" ht="33.75" customHeight="1" x14ac:dyDescent="0.3">
      <c r="A1" s="9" t="s">
        <v>38</v>
      </c>
      <c r="B1" s="9" t="s">
        <v>39</v>
      </c>
      <c r="C1" s="9" t="s">
        <v>40</v>
      </c>
      <c r="D1" s="9" t="s">
        <v>41</v>
      </c>
      <c r="E1" s="9" t="s">
        <v>42</v>
      </c>
      <c r="F1" s="9" t="s">
        <v>43</v>
      </c>
      <c r="G1" s="9" t="s">
        <v>44</v>
      </c>
      <c r="I1" s="30" t="s">
        <v>99</v>
      </c>
      <c r="J1" s="31"/>
      <c r="K1" s="31"/>
      <c r="L1" t="s">
        <v>100</v>
      </c>
    </row>
    <row r="2" spans="1:12" x14ac:dyDescent="0.3">
      <c r="A2" s="10" t="s">
        <v>45</v>
      </c>
      <c r="B2" s="11">
        <v>100</v>
      </c>
      <c r="C2" s="12">
        <v>30</v>
      </c>
      <c r="D2" s="13">
        <f>Assumptions!$B$17</f>
        <v>38</v>
      </c>
      <c r="E2" s="14">
        <f>C2*B2</f>
        <v>3000</v>
      </c>
      <c r="F2" s="12">
        <f>C2*D2</f>
        <v>1140</v>
      </c>
      <c r="G2" s="15" t="s">
        <v>84</v>
      </c>
    </row>
    <row r="3" spans="1:12" x14ac:dyDescent="0.3">
      <c r="A3" s="10" t="s">
        <v>46</v>
      </c>
      <c r="B3" s="11">
        <v>1020</v>
      </c>
      <c r="C3" s="12">
        <v>2</v>
      </c>
      <c r="D3" s="13">
        <f>Assumptions!$B$18</f>
        <v>110</v>
      </c>
      <c r="E3" s="14">
        <f>C3*B3</f>
        <v>2040</v>
      </c>
      <c r="F3" s="12">
        <f>C3*D3</f>
        <v>220</v>
      </c>
      <c r="G3" s="15" t="s">
        <v>84</v>
      </c>
    </row>
    <row r="4" spans="1:12" x14ac:dyDescent="0.3">
      <c r="A4" s="10" t="s">
        <v>47</v>
      </c>
      <c r="B4" s="11">
        <v>215</v>
      </c>
      <c r="C4" s="12">
        <v>4</v>
      </c>
      <c r="D4" s="13">
        <f>Assumptions!$B$19</f>
        <v>45</v>
      </c>
      <c r="E4" s="14">
        <f>C4*B4</f>
        <v>860</v>
      </c>
      <c r="F4" s="12">
        <f>C4*D4</f>
        <v>180</v>
      </c>
      <c r="G4" s="15" t="s">
        <v>84</v>
      </c>
    </row>
    <row r="5" spans="1:12" x14ac:dyDescent="0.3">
      <c r="A5" s="10" t="s">
        <v>48</v>
      </c>
      <c r="B5" s="11">
        <v>3</v>
      </c>
      <c r="C5" s="12">
        <f>B26*2</f>
        <v>70</v>
      </c>
      <c r="D5" s="13">
        <f>Assumptions!$B$20</f>
        <v>0.1</v>
      </c>
      <c r="E5" s="14">
        <f>C5*B5</f>
        <v>210</v>
      </c>
      <c r="F5" s="12">
        <f>C5*D5</f>
        <v>7</v>
      </c>
      <c r="G5" s="15" t="s">
        <v>84</v>
      </c>
    </row>
    <row r="6" spans="1:12" x14ac:dyDescent="0.3">
      <c r="A6" s="10" t="s">
        <v>18</v>
      </c>
      <c r="B6" s="11">
        <v>8</v>
      </c>
      <c r="C6" s="12">
        <f>+Assumptions!B14</f>
        <v>4</v>
      </c>
      <c r="D6" s="13">
        <f>Assumptions!$B$20</f>
        <v>0.1</v>
      </c>
      <c r="E6" s="14">
        <f>C6*B6</f>
        <v>32</v>
      </c>
      <c r="F6" s="12">
        <f>C6*D6</f>
        <v>0.4</v>
      </c>
      <c r="G6" s="15" t="s">
        <v>84</v>
      </c>
    </row>
    <row r="8" spans="1:12" x14ac:dyDescent="0.3">
      <c r="A8" s="16" t="s">
        <v>49</v>
      </c>
    </row>
    <row r="10" spans="1:12" x14ac:dyDescent="0.3">
      <c r="A10" s="17" t="s">
        <v>50</v>
      </c>
      <c r="B10" s="10"/>
      <c r="C10" s="10"/>
      <c r="D10" s="10"/>
      <c r="E10" s="18">
        <f>SUM(E2:E6)</f>
        <v>6142</v>
      </c>
      <c r="F10" s="19">
        <f>SUM(F2:F6)</f>
        <v>1547.4</v>
      </c>
      <c r="G10" s="10"/>
    </row>
    <row r="20" spans="1:7" x14ac:dyDescent="0.3">
      <c r="A20" s="3" t="s">
        <v>51</v>
      </c>
      <c r="B20" s="4"/>
      <c r="C20" s="4"/>
      <c r="D20" s="4"/>
      <c r="E20" s="4"/>
      <c r="F20" s="4"/>
      <c r="G20" s="4"/>
    </row>
    <row r="21" spans="1:7" x14ac:dyDescent="0.3">
      <c r="A21" t="s">
        <v>52</v>
      </c>
      <c r="B21" s="20"/>
    </row>
    <row r="22" spans="1:7" x14ac:dyDescent="0.3">
      <c r="A22" t="s">
        <v>53</v>
      </c>
      <c r="B22" s="21"/>
    </row>
    <row r="23" spans="1:7" x14ac:dyDescent="0.3">
      <c r="A23" t="s">
        <v>54</v>
      </c>
      <c r="B23" s="21"/>
    </row>
    <row r="24" spans="1:7" x14ac:dyDescent="0.3">
      <c r="A24" t="s">
        <v>55</v>
      </c>
      <c r="B24" s="21"/>
    </row>
    <row r="25" spans="1:7" x14ac:dyDescent="0.3">
      <c r="A25" t="s">
        <v>56</v>
      </c>
      <c r="B25" s="20">
        <f>+C2</f>
        <v>30</v>
      </c>
    </row>
    <row r="26" spans="1:7" x14ac:dyDescent="0.3">
      <c r="A26" t="s">
        <v>57</v>
      </c>
      <c r="B26" s="20">
        <f>B25+1+C4</f>
        <v>35</v>
      </c>
    </row>
  </sheetData>
  <mergeCells count="1">
    <mergeCell ref="I1:K1"/>
  </mergeCells>
  <hyperlinks>
    <hyperlink ref="L1" r:id="rId1" xr:uid="{99401236-DB90-4A2D-B760-21B095F64444}"/>
  </hyperlinks>
  <pageMargins left="0.75" right="0.75" top="1" bottom="1" header="0.511811023622047" footer="0.511811023622047"/>
  <pageSetup paperSize="9" orientation="portrait" horizontalDpi="300" verticalDpi="300"/>
  <headerFooter>
    <oddHeader>&amp;C&amp;"Aptos"&amp;12&amp;KFF0000 OFFICIAL&amp;1#_x000D_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C0AAB-0A31-48E7-9F9E-C539FE22E227}">
  <dimension ref="A1:C18"/>
  <sheetViews>
    <sheetView showGridLines="0" zoomScaleNormal="100" workbookViewId="0">
      <selection activeCell="H29" sqref="H29"/>
    </sheetView>
  </sheetViews>
  <sheetFormatPr defaultColWidth="8.6640625" defaultRowHeight="14.4" x14ac:dyDescent="0.3"/>
  <cols>
    <col min="1" max="1" width="34" customWidth="1"/>
    <col min="2" max="2" width="16" customWidth="1"/>
    <col min="3" max="3" width="14" customWidth="1"/>
  </cols>
  <sheetData>
    <row r="1" spans="1:3" ht="17.399999999999999" x14ac:dyDescent="0.3">
      <c r="A1" s="1" t="s">
        <v>58</v>
      </c>
    </row>
    <row r="4" spans="1:3" x14ac:dyDescent="0.3">
      <c r="A4" t="s">
        <v>59</v>
      </c>
      <c r="B4" s="20">
        <f>'Materials &amp; BOM (JA design)'!F10</f>
        <v>1547.4</v>
      </c>
      <c r="C4" s="6" t="s">
        <v>24</v>
      </c>
    </row>
    <row r="5" spans="1:3" x14ac:dyDescent="0.3">
      <c r="A5" t="s">
        <v>59</v>
      </c>
      <c r="B5" s="21">
        <f>B4/1000</f>
        <v>1.5474000000000001</v>
      </c>
      <c r="C5" s="6" t="s">
        <v>60</v>
      </c>
    </row>
    <row r="6" spans="1:3" x14ac:dyDescent="0.3">
      <c r="A6" t="s">
        <v>61</v>
      </c>
      <c r="B6" s="20">
        <f>Assumptions!B23</f>
        <v>900</v>
      </c>
      <c r="C6" s="6" t="s">
        <v>29</v>
      </c>
    </row>
    <row r="8" spans="1:3" x14ac:dyDescent="0.3">
      <c r="A8" t="s">
        <v>62</v>
      </c>
      <c r="B8" t="str">
        <f>IF(B5&lt;=Assumptions!B27,Assumptions!A27,IF(B5&lt;=Assumptions!B28,Assumptions!A28,IF(B5&lt;=Assumptions!B29,Assumptions!A29,Assumptions!A30)))</f>
        <v>Part load</v>
      </c>
    </row>
    <row r="9" spans="1:3" x14ac:dyDescent="0.3">
      <c r="A9" t="s">
        <v>63</v>
      </c>
      <c r="B9">
        <f>IF(B5&lt;=Assumptions!B27,Assumptions!C27,IF(B5&lt;=Assumptions!B28,Assumptions!C28,IF(B5&lt;=Assumptions!B29,Assumptions!C29,Assumptions!C30)))</f>
        <v>0.3</v>
      </c>
      <c r="C9" s="6" t="s">
        <v>33</v>
      </c>
    </row>
    <row r="11" spans="1:3" x14ac:dyDescent="0.3">
      <c r="A11" s="22" t="s">
        <v>64</v>
      </c>
      <c r="B11" s="23">
        <f>B5*B9*B6</f>
        <v>417.798</v>
      </c>
      <c r="C11" s="24" t="s">
        <v>65</v>
      </c>
    </row>
    <row r="13" spans="1:3" x14ac:dyDescent="0.3">
      <c r="A13" s="8" t="s">
        <v>66</v>
      </c>
    </row>
    <row r="14" spans="1:3" x14ac:dyDescent="0.3">
      <c r="A14" s="25" t="s">
        <v>67</v>
      </c>
    </row>
    <row r="15" spans="1:3" x14ac:dyDescent="0.3">
      <c r="A15" s="25" t="s">
        <v>68</v>
      </c>
    </row>
    <row r="16" spans="1:3" x14ac:dyDescent="0.3">
      <c r="A16" s="25" t="s">
        <v>95</v>
      </c>
    </row>
    <row r="17" spans="1:1" x14ac:dyDescent="0.3">
      <c r="A17" s="25" t="s">
        <v>69</v>
      </c>
    </row>
    <row r="18" spans="1:1" x14ac:dyDescent="0.3">
      <c r="A18" s="25" t="s">
        <v>70</v>
      </c>
    </row>
  </sheetData>
  <pageMargins left="0.75" right="0.75" top="1" bottom="1" header="0.511811023622047" footer="0.511811023622047"/>
  <pageSetup paperSize="9" orientation="portrait" horizontalDpi="300" verticalDpi="300"/>
  <headerFooter>
    <oddHeader>&amp;C&amp;"Aptos"&amp;12&amp;KFF0000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7B38C-AFF5-4EFE-AEDF-08AAB337B1BB}">
  <dimension ref="A1:C20"/>
  <sheetViews>
    <sheetView showGridLines="0" zoomScaleNormal="100" workbookViewId="0">
      <selection activeCell="B4" sqref="B4"/>
    </sheetView>
  </sheetViews>
  <sheetFormatPr defaultColWidth="8.6640625" defaultRowHeight="14.4" x14ac:dyDescent="0.3"/>
  <cols>
    <col min="1" max="1" width="36" customWidth="1"/>
    <col min="2" max="2" width="16" customWidth="1"/>
    <col min="3" max="3" width="12" customWidth="1"/>
  </cols>
  <sheetData>
    <row r="1" spans="1:3" ht="17.399999999999999" x14ac:dyDescent="0.3">
      <c r="A1" s="1" t="s">
        <v>71</v>
      </c>
    </row>
    <row r="2" spans="1:3" x14ac:dyDescent="0.3">
      <c r="A2" s="2" t="s">
        <v>96</v>
      </c>
    </row>
    <row r="4" spans="1:3" x14ac:dyDescent="0.3">
      <c r="A4" t="s">
        <v>3</v>
      </c>
      <c r="B4" s="20">
        <f>+Summary!B4</f>
        <v>50</v>
      </c>
      <c r="C4" s="6" t="s">
        <v>4</v>
      </c>
    </row>
    <row r="5" spans="1:3" x14ac:dyDescent="0.3">
      <c r="A5" t="s">
        <v>72</v>
      </c>
      <c r="B5" s="21">
        <f>'Materials &amp; BOM (JA design)'!B22</f>
        <v>0</v>
      </c>
      <c r="C5" s="6" t="s">
        <v>13</v>
      </c>
    </row>
    <row r="7" spans="1:3" x14ac:dyDescent="0.3">
      <c r="A7" t="s">
        <v>73</v>
      </c>
      <c r="B7" s="26">
        <f>'Materials &amp; BOM (JA design)'!E10</f>
        <v>6142</v>
      </c>
      <c r="C7" s="6" t="s">
        <v>65</v>
      </c>
    </row>
    <row r="8" spans="1:3" x14ac:dyDescent="0.3">
      <c r="A8" t="s">
        <v>74</v>
      </c>
      <c r="B8" s="26">
        <f>'Freight (JA design)'!B11</f>
        <v>417.798</v>
      </c>
      <c r="C8" s="6" t="s">
        <v>65</v>
      </c>
    </row>
    <row r="9" spans="1:3" x14ac:dyDescent="0.3">
      <c r="A9" s="22" t="s">
        <v>75</v>
      </c>
      <c r="B9" s="23">
        <f>B7+B8</f>
        <v>6559.7979999999998</v>
      </c>
      <c r="C9" s="24" t="s">
        <v>65</v>
      </c>
    </row>
    <row r="11" spans="1:3" x14ac:dyDescent="0.3">
      <c r="A11" t="s">
        <v>76</v>
      </c>
      <c r="B11" s="26">
        <f>B9/B4</f>
        <v>131.19595999999999</v>
      </c>
      <c r="C11" s="6" t="s">
        <v>77</v>
      </c>
    </row>
    <row r="12" spans="1:3" x14ac:dyDescent="0.3">
      <c r="A12" t="s">
        <v>78</v>
      </c>
      <c r="B12" s="27">
        <f>B8/B9</f>
        <v>6.3690680719131906E-2</v>
      </c>
      <c r="C12" s="6" t="s">
        <v>79</v>
      </c>
    </row>
    <row r="15" spans="1:3" x14ac:dyDescent="0.3">
      <c r="A15" s="8" t="s">
        <v>80</v>
      </c>
    </row>
    <row r="16" spans="1:3" x14ac:dyDescent="0.3">
      <c r="A16" s="28" t="s">
        <v>97</v>
      </c>
    </row>
    <row r="17" spans="1:1" x14ac:dyDescent="0.3">
      <c r="A17" s="28" t="s">
        <v>81</v>
      </c>
    </row>
    <row r="18" spans="1:1" x14ac:dyDescent="0.3">
      <c r="A18" s="28" t="s">
        <v>82</v>
      </c>
    </row>
    <row r="19" spans="1:1" x14ac:dyDescent="0.3">
      <c r="A19" s="28" t="s">
        <v>98</v>
      </c>
    </row>
    <row r="20" spans="1:1" x14ac:dyDescent="0.3">
      <c r="A20" s="28" t="s">
        <v>83</v>
      </c>
    </row>
  </sheetData>
  <pageMargins left="0.75" right="0.75" top="1" bottom="1" header="0.511811023622047" footer="0.511811023622047"/>
  <pageSetup paperSize="9" orientation="portrait" horizontalDpi="300" verticalDpi="300"/>
  <headerFooter>
    <oddHeader>&amp;C&amp;"Aptos"&amp;12&amp;KFF0000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Assumptions</vt:lpstr>
      <vt:lpstr>Materials &amp; BOM</vt:lpstr>
      <vt:lpstr>Freight</vt:lpstr>
      <vt:lpstr>Summary</vt:lpstr>
      <vt:lpstr>Materials &amp; BOM (JA design)</vt:lpstr>
      <vt:lpstr>Freight (JA design)</vt:lpstr>
      <vt:lpstr>Summary (JA design)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Christophe D'Abbadie</cp:lastModifiedBy>
  <cp:revision>0</cp:revision>
  <dcterms:created xsi:type="dcterms:W3CDTF">2026-07-07T03:50:55Z</dcterms:created>
  <dcterms:modified xsi:type="dcterms:W3CDTF">2026-07-08T00:12:33Z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cf83ea-a86c-44db-b904-16489f29f74e_Enabled">
    <vt:lpwstr>true</vt:lpwstr>
  </property>
  <property fmtid="{D5CDD505-2E9C-101B-9397-08002B2CF9AE}" pid="3" name="MSIP_Label_8bcf83ea-a86c-44db-b904-16489f29f74e_SetDate">
    <vt:lpwstr>2026-07-07T04:27:18Z</vt:lpwstr>
  </property>
  <property fmtid="{D5CDD505-2E9C-101B-9397-08002B2CF9AE}" pid="4" name="MSIP_Label_8bcf83ea-a86c-44db-b904-16489f29f74e_Method">
    <vt:lpwstr>Standard</vt:lpwstr>
  </property>
  <property fmtid="{D5CDD505-2E9C-101B-9397-08002B2CF9AE}" pid="5" name="MSIP_Label_8bcf83ea-a86c-44db-b904-16489f29f74e_Name">
    <vt:lpwstr>EIM Info Class OFFICIAL</vt:lpwstr>
  </property>
  <property fmtid="{D5CDD505-2E9C-101B-9397-08002B2CF9AE}" pid="6" name="MSIP_Label_8bcf83ea-a86c-44db-b904-16489f29f74e_SiteId">
    <vt:lpwstr>7b5e7ee6-2d23-4b9a-abaa-a0beeed2548e</vt:lpwstr>
  </property>
  <property fmtid="{D5CDD505-2E9C-101B-9397-08002B2CF9AE}" pid="7" name="MSIP_Label_8bcf83ea-a86c-44db-b904-16489f29f74e_ActionId">
    <vt:lpwstr>65585866-83cb-4cad-ad06-956508f92887</vt:lpwstr>
  </property>
  <property fmtid="{D5CDD505-2E9C-101B-9397-08002B2CF9AE}" pid="8" name="MSIP_Label_8bcf83ea-a86c-44db-b904-16489f29f74e_ContentBits">
    <vt:lpwstr>1</vt:lpwstr>
  </property>
  <property fmtid="{D5CDD505-2E9C-101B-9397-08002B2CF9AE}" pid="9" name="MSIP_Label_8bcf83ea-a86c-44db-b904-16489f29f74e_Tag">
    <vt:lpwstr>10, 3, 0, 1</vt:lpwstr>
  </property>
</Properties>
</file>